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bncnbccs-my.sharepoint.com/personal/jakob_graves_nbc_ca/Documents/Documents/Program Docs/Excel/"/>
    </mc:Choice>
  </mc:AlternateContent>
  <xr:revisionPtr revIDLastSave="384" documentId="13_ncr:1_{6B12DC7D-2E9D-43F0-8D7A-66534073A9C1}" xr6:coauthVersionLast="47" xr6:coauthVersionMax="47" xr10:uidLastSave="{344C424D-9904-4F77-808A-62B0842711C7}"/>
  <bookViews>
    <workbookView xWindow="24810" yWindow="-120" windowWidth="23310" windowHeight="13740" xr2:uid="{B56C6E8E-6FF6-48CF-96C7-F9A6994C3DB7}"/>
  </bookViews>
  <sheets>
    <sheet name="Tax Equivalent Yield" sheetId="3" r:id="rId1"/>
    <sheet name="Sample" sheetId="10" state="hidden" r:id="rId2"/>
    <sheet name="Interest Verification" sheetId="7" state="hidden" r:id="rId3"/>
    <sheet name="Commission" sheetId="12" r:id="rId4"/>
    <sheet name="Helper Sheet" sheetId="6" r:id="rId5"/>
  </sheets>
  <definedNames>
    <definedName name="_xlnm._FilterDatabase" localSheetId="0" hidden="1">'Tax Equivalent Yield'!#REF!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7" l="1"/>
  <c r="D18" i="7"/>
  <c r="D5" i="12" l="1"/>
  <c r="D6" i="12"/>
  <c r="E6" i="12"/>
  <c r="B14" i="12"/>
  <c r="B15" i="12" s="1"/>
  <c r="B18" i="12" s="1"/>
  <c r="B24" i="12" s="1"/>
  <c r="B22" i="12"/>
  <c r="F12" i="6"/>
  <c r="D4" i="6"/>
  <c r="E4" i="6" s="1"/>
  <c r="D6" i="6"/>
  <c r="E6" i="6" s="1"/>
  <c r="D5" i="6"/>
  <c r="E5" i="6" s="1"/>
  <c r="D16" i="3"/>
  <c r="K10" i="3" s="1"/>
  <c r="G6" i="10"/>
  <c r="G7" i="10"/>
  <c r="G8" i="10"/>
  <c r="O8" i="10"/>
  <c r="G9" i="10"/>
  <c r="O9" i="10"/>
  <c r="G10" i="10"/>
  <c r="O10" i="10"/>
  <c r="G11" i="10"/>
  <c r="O11" i="10"/>
  <c r="O12" i="10"/>
  <c r="O13" i="10"/>
  <c r="I14" i="10"/>
  <c r="G15" i="10"/>
  <c r="G16" i="10"/>
  <c r="G17" i="10"/>
  <c r="G18" i="10"/>
  <c r="G19" i="10"/>
  <c r="F23" i="10"/>
  <c r="G23" i="10"/>
  <c r="G24" i="10"/>
  <c r="G25" i="10"/>
  <c r="G26" i="10"/>
  <c r="G30" i="10"/>
  <c r="G31" i="10"/>
  <c r="G32" i="10"/>
  <c r="G33" i="10"/>
  <c r="J37" i="10"/>
  <c r="D37" i="10"/>
  <c r="J39" i="10"/>
  <c r="C38" i="10"/>
  <c r="D38" i="10" s="1"/>
  <c r="C39" i="10"/>
  <c r="D39" i="10" s="1"/>
  <c r="D40" i="10"/>
  <c r="D7" i="12" l="1"/>
  <c r="D8" i="12" s="1"/>
  <c r="G12" i="6"/>
  <c r="E9" i="6"/>
  <c r="J35" i="10"/>
  <c r="K14" i="10"/>
  <c r="M14" i="10"/>
  <c r="J36" i="10"/>
  <c r="N14" i="10"/>
  <c r="L14" i="10"/>
  <c r="G10" i="3"/>
  <c r="D34" i="7"/>
  <c r="H33" i="7"/>
  <c r="H30" i="7"/>
  <c r="H31" i="7"/>
  <c r="H32" i="7"/>
  <c r="H36" i="7"/>
  <c r="I36" i="7" s="1"/>
  <c r="H29" i="7"/>
  <c r="L31" i="7"/>
  <c r="I6" i="7"/>
  <c r="D26" i="7"/>
  <c r="D25" i="7"/>
  <c r="G7" i="7"/>
  <c r="G8" i="7" s="1"/>
  <c r="I42" i="7"/>
  <c r="I43" i="7" s="1"/>
  <c r="G10" i="7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D36" i="7"/>
  <c r="D39" i="7" s="1"/>
  <c r="D40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D20" i="3"/>
  <c r="E7" i="12" l="1"/>
  <c r="D9" i="12"/>
  <c r="E8" i="12"/>
  <c r="I30" i="7"/>
  <c r="I29" i="7"/>
  <c r="I31" i="7"/>
  <c r="I34" i="7"/>
  <c r="D31" i="7"/>
  <c r="D37" i="7"/>
  <c r="I33" i="7"/>
  <c r="I35" i="7"/>
  <c r="I32" i="7"/>
  <c r="I40" i="7"/>
  <c r="D33" i="7"/>
  <c r="D29" i="7"/>
  <c r="D32" i="7"/>
  <c r="D28" i="7"/>
  <c r="D27" i="7"/>
  <c r="E9" i="12" l="1"/>
  <c r="D10" i="12"/>
  <c r="I37" i="7"/>
  <c r="I28" i="7"/>
  <c r="I7" i="7"/>
  <c r="I8" i="7"/>
  <c r="I10" i="7"/>
  <c r="I18" i="7"/>
  <c r="I26" i="7"/>
  <c r="I17" i="7"/>
  <c r="I25" i="7"/>
  <c r="I11" i="7"/>
  <c r="I19" i="7"/>
  <c r="I27" i="7"/>
  <c r="I12" i="7"/>
  <c r="I20" i="7"/>
  <c r="I15" i="7"/>
  <c r="I23" i="7"/>
  <c r="I13" i="7"/>
  <c r="I21" i="7"/>
  <c r="I9" i="7"/>
  <c r="I24" i="7"/>
  <c r="I14" i="7"/>
  <c r="I22" i="7"/>
  <c r="I16" i="7"/>
  <c r="D14" i="7"/>
  <c r="D9" i="7"/>
  <c r="D17" i="7"/>
  <c r="D16" i="7"/>
  <c r="D24" i="7"/>
  <c r="D13" i="7"/>
  <c r="D22" i="7"/>
  <c r="D21" i="7"/>
  <c r="D23" i="7"/>
  <c r="D10" i="7"/>
  <c r="D19" i="7"/>
  <c r="D20" i="7"/>
  <c r="D6" i="7"/>
  <c r="D7" i="7"/>
  <c r="D11" i="7"/>
  <c r="D15" i="7"/>
  <c r="D8" i="7"/>
  <c r="D12" i="7"/>
  <c r="E10" i="12" l="1"/>
  <c r="D11" i="12"/>
  <c r="E11" i="12" l="1"/>
  <c r="D12" i="12"/>
  <c r="D13" i="12" l="1"/>
  <c r="E12" i="12"/>
  <c r="E13" i="12" l="1"/>
  <c r="D14" i="12"/>
  <c r="E14" i="12" l="1"/>
  <c r="D15" i="12"/>
  <c r="D16" i="12" l="1"/>
  <c r="E15" i="12"/>
  <c r="E16" i="12" l="1"/>
  <c r="D17" i="12"/>
  <c r="E17" i="12" l="1"/>
  <c r="D18" i="12"/>
  <c r="E18" i="12" l="1"/>
  <c r="D19" i="12"/>
  <c r="E19" i="12" l="1"/>
  <c r="D20" i="12"/>
  <c r="E20" i="12" l="1"/>
  <c r="D21" i="12"/>
  <c r="D22" i="12" l="1"/>
  <c r="E21" i="12"/>
  <c r="E22" i="12" l="1"/>
  <c r="D23" i="12"/>
  <c r="E23" i="12" l="1"/>
  <c r="D24" i="12"/>
  <c r="D25" i="12" l="1"/>
  <c r="E24" i="12"/>
  <c r="E25" i="12" l="1"/>
  <c r="D26" i="12"/>
  <c r="E26" i="12" l="1"/>
  <c r="D27" i="12"/>
  <c r="D28" i="12" l="1"/>
  <c r="E27" i="12"/>
  <c r="E28" i="12" l="1"/>
  <c r="D29" i="12"/>
  <c r="E29" i="12" l="1"/>
  <c r="D30" i="12"/>
  <c r="E30" i="12" l="1"/>
  <c r="D31" i="12"/>
  <c r="E31" i="12" l="1"/>
  <c r="D32" i="12"/>
  <c r="E32" i="12" l="1"/>
  <c r="D33" i="12"/>
  <c r="E33" i="12" l="1"/>
  <c r="D34" i="12"/>
  <c r="E34" i="12" l="1"/>
  <c r="D35" i="12"/>
  <c r="D36" i="12" l="1"/>
  <c r="E35" i="12"/>
  <c r="E36" i="12" l="1"/>
  <c r="D37" i="12"/>
  <c r="E37" i="12" l="1"/>
  <c r="D38" i="12"/>
  <c r="E38" i="12" l="1"/>
  <c r="D39" i="12"/>
  <c r="E39" i="12" l="1"/>
  <c r="D40" i="12"/>
  <c r="E40" i="12" l="1"/>
  <c r="D41" i="12"/>
  <c r="E41" i="12" l="1"/>
  <c r="D42" i="12"/>
  <c r="E42" i="12" l="1"/>
  <c r="D43" i="12"/>
  <c r="D44" i="12" l="1"/>
  <c r="E43" i="12"/>
  <c r="E44" i="12" l="1"/>
  <c r="D45" i="12"/>
  <c r="E45" i="12" l="1"/>
  <c r="D46" i="12"/>
  <c r="E46" i="12" l="1"/>
  <c r="D47" i="12"/>
  <c r="E47" i="12" l="1"/>
  <c r="D48" i="12"/>
  <c r="E48" i="12" l="1"/>
  <c r="D49" i="12"/>
  <c r="E49" i="12" l="1"/>
  <c r="D50" i="12"/>
  <c r="E50" i="12" l="1"/>
  <c r="D51" i="12"/>
  <c r="E51" i="12" l="1"/>
  <c r="D52" i="12"/>
  <c r="E52" i="12" l="1"/>
  <c r="D53" i="12"/>
  <c r="E53" i="12" l="1"/>
  <c r="D54" i="12"/>
  <c r="E54" i="12" l="1"/>
  <c r="D55" i="12"/>
  <c r="D56" i="12" l="1"/>
  <c r="E55" i="12"/>
  <c r="E56" i="12" l="1"/>
  <c r="D57" i="12"/>
  <c r="E57" i="12" l="1"/>
  <c r="D58" i="12"/>
  <c r="E58" i="12" l="1"/>
  <c r="D59" i="12"/>
  <c r="E59" i="12" l="1"/>
  <c r="D60" i="12"/>
  <c r="E60" i="12" l="1"/>
  <c r="D61" i="12"/>
  <c r="E61" i="12" l="1"/>
  <c r="D62" i="12"/>
  <c r="E62" i="12" l="1"/>
  <c r="D63" i="12"/>
  <c r="D64" i="12" l="1"/>
  <c r="E63" i="12"/>
  <c r="E64" i="12" l="1"/>
  <c r="D65" i="12"/>
  <c r="E65" i="12" l="1"/>
  <c r="B16" i="12"/>
  <c r="B17" i="12" l="1"/>
  <c r="B23" i="12" s="1"/>
  <c r="B25" i="12" s="1"/>
  <c r="E5" i="12" s="1"/>
  <c r="F10" i="3" l="1"/>
  <c r="F9" i="3"/>
  <c r="J10" i="3" l="1"/>
  <c r="A3" i="6" s="1"/>
  <c r="F11" i="3"/>
  <c r="J9" i="3"/>
  <c r="A2" i="6" s="1"/>
  <c r="F12" i="3" l="1"/>
  <c r="G12" i="3" s="1"/>
  <c r="J11" i="3"/>
  <c r="G11" i="3"/>
  <c r="A4" i="6" l="1"/>
  <c r="B3" i="6"/>
  <c r="J12" i="3"/>
  <c r="F13" i="3"/>
  <c r="F14" i="3" s="1"/>
  <c r="A5" i="6" l="1"/>
  <c r="J13" i="3"/>
  <c r="G13" i="3"/>
  <c r="A6" i="6" l="1"/>
  <c r="F15" i="3"/>
  <c r="G14" i="3"/>
  <c r="J14" i="3"/>
  <c r="A7" i="6" l="1"/>
  <c r="F16" i="3"/>
  <c r="F17" i="3" s="1"/>
  <c r="J15" i="3"/>
  <c r="G15" i="3"/>
  <c r="A8" i="6" l="1"/>
  <c r="F18" i="3"/>
  <c r="J16" i="3"/>
  <c r="G16" i="3"/>
  <c r="A9" i="6" l="1"/>
  <c r="J17" i="3"/>
  <c r="G17" i="3"/>
  <c r="G18" i="3"/>
  <c r="J18" i="3"/>
  <c r="F19" i="3"/>
  <c r="A10" i="6" l="1"/>
  <c r="A11" i="6"/>
  <c r="J19" i="3"/>
  <c r="G19" i="3"/>
  <c r="F20" i="3"/>
  <c r="A12" i="6" l="1"/>
  <c r="F21" i="3"/>
  <c r="J20" i="3"/>
  <c r="G20" i="3"/>
  <c r="A13" i="6" l="1"/>
  <c r="J21" i="3"/>
  <c r="G21" i="3"/>
  <c r="F22" i="3"/>
  <c r="A14" i="6" l="1"/>
  <c r="G22" i="3"/>
  <c r="J22" i="3"/>
  <c r="F23" i="3"/>
  <c r="F24" i="3" s="1"/>
  <c r="A15" i="6" l="1"/>
  <c r="J23" i="3"/>
  <c r="G23" i="3"/>
  <c r="A16" i="6" l="1"/>
  <c r="G24" i="3"/>
  <c r="J24" i="3"/>
  <c r="F25" i="3"/>
  <c r="A17" i="6" l="1"/>
  <c r="F26" i="3"/>
  <c r="G25" i="3"/>
  <c r="J25" i="3"/>
  <c r="A18" i="6" l="1"/>
  <c r="J26" i="3"/>
  <c r="F27" i="3"/>
  <c r="G26" i="3"/>
  <c r="A19" i="6" l="1"/>
  <c r="J27" i="3"/>
  <c r="G27" i="3"/>
  <c r="F28" i="3"/>
  <c r="G28" i="3" l="1"/>
  <c r="J28" i="3"/>
  <c r="F29" i="3"/>
  <c r="A20" i="6" l="1"/>
  <c r="F30" i="3"/>
  <c r="J29" i="3"/>
  <c r="G29" i="3"/>
  <c r="A21" i="6" l="1"/>
  <c r="F31" i="3"/>
  <c r="G30" i="3"/>
  <c r="J30" i="3"/>
  <c r="A22" i="6" l="1"/>
  <c r="J31" i="3"/>
  <c r="G31" i="3"/>
  <c r="F32" i="3"/>
  <c r="A23" i="6" l="1"/>
  <c r="G32" i="3"/>
  <c r="J32" i="3"/>
  <c r="F33" i="3"/>
  <c r="A24" i="6" l="1"/>
  <c r="F34" i="3"/>
  <c r="J33" i="3"/>
  <c r="G33" i="3"/>
  <c r="A25" i="6" l="1"/>
  <c r="F35" i="3"/>
  <c r="J34" i="3"/>
  <c r="G34" i="3"/>
  <c r="A26" i="6" l="1"/>
  <c r="J35" i="3"/>
  <c r="F36" i="3"/>
  <c r="G35" i="3"/>
  <c r="A27" i="6" l="1"/>
  <c r="G36" i="3"/>
  <c r="J36" i="3"/>
  <c r="F37" i="3"/>
  <c r="A28" i="6" l="1"/>
  <c r="F38" i="3"/>
  <c r="G37" i="3"/>
  <c r="J37" i="3"/>
  <c r="A29" i="6" l="1"/>
  <c r="G38" i="3"/>
  <c r="F39" i="3"/>
  <c r="J38" i="3"/>
  <c r="A30" i="6" l="1"/>
  <c r="J39" i="3"/>
  <c r="F40" i="3"/>
  <c r="G39" i="3"/>
  <c r="A31" i="6" l="1"/>
  <c r="J40" i="3"/>
  <c r="G40" i="3"/>
  <c r="F41" i="3"/>
  <c r="A32" i="6" l="1"/>
  <c r="F42" i="3"/>
  <c r="G41" i="3"/>
  <c r="J41" i="3"/>
  <c r="A33" i="6" l="1"/>
  <c r="F43" i="3"/>
  <c r="G42" i="3"/>
  <c r="J42" i="3"/>
  <c r="A34" i="6" l="1"/>
  <c r="G43" i="3"/>
  <c r="J43" i="3"/>
  <c r="F44" i="3"/>
  <c r="A35" i="6" l="1"/>
  <c r="J44" i="3"/>
  <c r="G44" i="3"/>
  <c r="F45" i="3"/>
  <c r="A36" i="6" l="1"/>
  <c r="F46" i="3"/>
  <c r="J45" i="3"/>
  <c r="G45" i="3"/>
  <c r="A37" i="6" l="1"/>
  <c r="F47" i="3"/>
  <c r="G46" i="3"/>
  <c r="J46" i="3"/>
  <c r="A38" i="6" l="1"/>
  <c r="G47" i="3"/>
  <c r="J47" i="3"/>
  <c r="F48" i="3"/>
  <c r="A39" i="6" l="1"/>
  <c r="J48" i="3"/>
  <c r="G48" i="3"/>
  <c r="F49" i="3"/>
  <c r="A40" i="6" l="1"/>
  <c r="F50" i="3"/>
  <c r="J49" i="3"/>
  <c r="G49" i="3"/>
  <c r="A41" i="6" l="1"/>
  <c r="F51" i="3"/>
  <c r="G50" i="3"/>
  <c r="J50" i="3"/>
  <c r="A42" i="6" l="1"/>
  <c r="G51" i="3"/>
  <c r="J51" i="3"/>
  <c r="F52" i="3"/>
  <c r="A43" i="6" l="1"/>
  <c r="J52" i="3"/>
  <c r="G52" i="3"/>
  <c r="F53" i="3"/>
  <c r="A44" i="6" l="1"/>
  <c r="F54" i="3"/>
  <c r="J53" i="3"/>
  <c r="G53" i="3"/>
  <c r="A45" i="6" l="1"/>
  <c r="F55" i="3"/>
  <c r="G54" i="3"/>
  <c r="J54" i="3"/>
  <c r="A46" i="6" l="1"/>
  <c r="G55" i="3"/>
  <c r="J55" i="3"/>
  <c r="F56" i="3"/>
  <c r="A47" i="6" l="1"/>
  <c r="J56" i="3"/>
  <c r="G56" i="3"/>
  <c r="F57" i="3"/>
  <c r="A48" i="6" l="1"/>
  <c r="F58" i="3"/>
  <c r="J57" i="3"/>
  <c r="G57" i="3"/>
  <c r="A49" i="6" l="1"/>
  <c r="F59" i="3"/>
  <c r="G58" i="3"/>
  <c r="J58" i="3"/>
  <c r="A50" i="6" l="1"/>
  <c r="G59" i="3"/>
  <c r="F60" i="3"/>
  <c r="J59" i="3"/>
  <c r="A51" i="6" l="1"/>
  <c r="J60" i="3"/>
  <c r="G60" i="3"/>
  <c r="F61" i="3"/>
  <c r="A52" i="6" l="1"/>
  <c r="F62" i="3"/>
  <c r="J61" i="3"/>
  <c r="G61" i="3"/>
  <c r="A53" i="6" l="1"/>
  <c r="J62" i="3"/>
  <c r="F63" i="3"/>
  <c r="G62" i="3"/>
  <c r="A54" i="6" l="1"/>
  <c r="F64" i="3"/>
  <c r="G63" i="3"/>
  <c r="J63" i="3"/>
  <c r="J64" i="3" l="1"/>
  <c r="G64" i="3"/>
  <c r="F65" i="3"/>
  <c r="F66" i="3" l="1"/>
  <c r="J65" i="3"/>
  <c r="G65" i="3"/>
  <c r="J66" i="3" l="1"/>
  <c r="G66" i="3"/>
  <c r="F67" i="3"/>
  <c r="F68" i="3" l="1"/>
  <c r="G67" i="3"/>
  <c r="J67" i="3"/>
  <c r="J68" i="3" l="1"/>
  <c r="F69" i="3"/>
  <c r="G68" i="3"/>
  <c r="F70" i="3" l="1"/>
  <c r="G69" i="3"/>
  <c r="J69" i="3"/>
  <c r="J70" i="3" l="1"/>
  <c r="K66" i="3" s="1"/>
  <c r="G70" i="3"/>
  <c r="D13" i="3" s="1"/>
  <c r="K70" i="3" l="1"/>
  <c r="K11" i="3"/>
  <c r="K13" i="3"/>
  <c r="K17" i="3"/>
  <c r="B10" i="6" s="1"/>
  <c r="K16" i="3"/>
  <c r="K18" i="3"/>
  <c r="B11" i="6" s="1"/>
  <c r="K19" i="3"/>
  <c r="B12" i="6" s="1"/>
  <c r="K21" i="3"/>
  <c r="K20" i="3"/>
  <c r="K22" i="3"/>
  <c r="K23" i="3"/>
  <c r="K24" i="3"/>
  <c r="B17" i="6" s="1"/>
  <c r="K25" i="3"/>
  <c r="B18" i="6" s="1"/>
  <c r="K26" i="3"/>
  <c r="B19" i="6" s="1"/>
  <c r="K27" i="3"/>
  <c r="K28" i="3"/>
  <c r="B20" i="6" s="1"/>
  <c r="K29" i="3"/>
  <c r="K30" i="3"/>
  <c r="B22" i="6" s="1"/>
  <c r="K31" i="3"/>
  <c r="B23" i="6" s="1"/>
  <c r="K32" i="3"/>
  <c r="B24" i="6" s="1"/>
  <c r="K33" i="3"/>
  <c r="B25" i="6" s="1"/>
  <c r="K34" i="3"/>
  <c r="B26" i="6" s="1"/>
  <c r="K35" i="3"/>
  <c r="B27" i="6" s="1"/>
  <c r="K36" i="3"/>
  <c r="B28" i="6" s="1"/>
  <c r="K37" i="3"/>
  <c r="K38" i="3"/>
  <c r="B30" i="6" s="1"/>
  <c r="K39" i="3"/>
  <c r="B31" i="6" s="1"/>
  <c r="K40" i="3"/>
  <c r="B32" i="6" s="1"/>
  <c r="K42" i="3"/>
  <c r="B34" i="6" s="1"/>
  <c r="K41" i="3"/>
  <c r="B33" i="6" s="1"/>
  <c r="K44" i="3"/>
  <c r="B36" i="6" s="1"/>
  <c r="K43" i="3"/>
  <c r="B35" i="6" s="1"/>
  <c r="K46" i="3"/>
  <c r="K45" i="3"/>
  <c r="B37" i="6" s="1"/>
  <c r="K47" i="3"/>
  <c r="B39" i="6" s="1"/>
  <c r="K48" i="3"/>
  <c r="B40" i="6" s="1"/>
  <c r="K49" i="3"/>
  <c r="B41" i="6" s="1"/>
  <c r="K50" i="3"/>
  <c r="B42" i="6" s="1"/>
  <c r="K51" i="3"/>
  <c r="B43" i="6" s="1"/>
  <c r="K52" i="3"/>
  <c r="B44" i="6" s="1"/>
  <c r="K53" i="3"/>
  <c r="B45" i="6" s="1"/>
  <c r="K54" i="3"/>
  <c r="B46" i="6" s="1"/>
  <c r="K55" i="3"/>
  <c r="B47" i="6" s="1"/>
  <c r="K56" i="3"/>
  <c r="B48" i="6" s="1"/>
  <c r="K57" i="3"/>
  <c r="B49" i="6" s="1"/>
  <c r="K58" i="3"/>
  <c r="B50" i="6" s="1"/>
  <c r="K59" i="3"/>
  <c r="B51" i="6" s="1"/>
  <c r="K61" i="3"/>
  <c r="B53" i="6" s="1"/>
  <c r="K60" i="3"/>
  <c r="B52" i="6" s="1"/>
  <c r="K62" i="3"/>
  <c r="B54" i="6" s="1"/>
  <c r="K63" i="3"/>
  <c r="K64" i="3"/>
  <c r="K65" i="3"/>
  <c r="K68" i="3"/>
  <c r="K67" i="3"/>
  <c r="K69" i="3"/>
  <c r="B21" i="6"/>
  <c r="B29" i="6"/>
  <c r="B38" i="6"/>
  <c r="K15" i="3" l="1"/>
  <c r="K12" i="3" l="1"/>
  <c r="D21" i="3"/>
  <c r="K14" i="3"/>
  <c r="B7" i="6" s="1"/>
  <c r="B16" i="6"/>
  <c r="B14" i="6"/>
  <c r="B15" i="6"/>
  <c r="B9" i="6"/>
  <c r="B13" i="6"/>
  <c r="B4" i="6"/>
  <c r="B8" i="6"/>
  <c r="B6" i="6"/>
  <c r="G9" i="3"/>
  <c r="F13" i="6" s="1"/>
  <c r="B5" i="6"/>
  <c r="K9" i="3" l="1"/>
  <c r="B2" i="6" s="1"/>
  <c r="D25" i="3" s="1"/>
  <c r="D24" i="3" s="1"/>
  <c r="D22" i="3" s="1"/>
  <c r="H8" i="6"/>
  <c r="D26" i="3"/>
  <c r="G13" i="6" l="1"/>
  <c r="G14" i="6" s="1"/>
  <c r="F14" i="6"/>
</calcChain>
</file>

<file path=xl/sharedStrings.xml><?xml version="1.0" encoding="utf-8"?>
<sst xmlns="http://schemas.openxmlformats.org/spreadsheetml/2006/main" count="184" uniqueCount="132">
  <si>
    <t>Tax Equivalent Yield Calculator</t>
  </si>
  <si>
    <t>For market discounted bonds</t>
  </si>
  <si>
    <t>Step 1: Input Parameters</t>
  </si>
  <si>
    <t>Face value:</t>
  </si>
  <si>
    <t>Market price:</t>
  </si>
  <si>
    <t>Coupon (%):</t>
  </si>
  <si>
    <t>Step 2: List cash flows and dates</t>
  </si>
  <si>
    <t>Coupon Frequency:</t>
  </si>
  <si>
    <t>Maturity date (mm/dd/yyyy):</t>
  </si>
  <si>
    <t>Date</t>
  </si>
  <si>
    <t>Cash flow</t>
  </si>
  <si>
    <t>Step 3: Adjust cash flows for tax</t>
  </si>
  <si>
    <t>Income tax rate:</t>
  </si>
  <si>
    <t>Output</t>
  </si>
  <si>
    <t>After tax yield to maturity</t>
  </si>
  <si>
    <t>Tax equivalent vs market yield spread</t>
  </si>
  <si>
    <t>Market yield</t>
  </si>
  <si>
    <t>Bond Commission Calculator</t>
  </si>
  <si>
    <t>For Investment Advisors</t>
  </si>
  <si>
    <t>Bond Parameters</t>
  </si>
  <si>
    <t>Commission and Output</t>
  </si>
  <si>
    <t>Commission (basis points)</t>
  </si>
  <si>
    <t>Market YTM</t>
  </si>
  <si>
    <t>YTM after commission</t>
  </si>
  <si>
    <t>Face value</t>
  </si>
  <si>
    <t>Previous coupon date</t>
  </si>
  <si>
    <t>Next coupon date</t>
  </si>
  <si>
    <t>Commission YTM implied bond price</t>
  </si>
  <si>
    <t>Bond Details</t>
  </si>
  <si>
    <t>Settlement date (mm/dd/yyyy) T + 2:</t>
  </si>
  <si>
    <t>Dollar profit (per unit face, after tax)</t>
  </si>
  <si>
    <t>DO NOT MODIFY</t>
  </si>
  <si>
    <t>Fill in all orange fields below</t>
  </si>
  <si>
    <t>After Tax Cash Flow</t>
  </si>
  <si>
    <t>Cash Flow</t>
  </si>
  <si>
    <t>Cash Balance</t>
  </si>
  <si>
    <t>Daily
 Interest</t>
  </si>
  <si>
    <t>Daily Rate (5/19 - 6/7)</t>
  </si>
  <si>
    <t>Annual Rate (5/19 - 6/7)</t>
  </si>
  <si>
    <t>Annual Rate (6/8 - 6/15)</t>
  </si>
  <si>
    <t>Daily Rate (6/8 - 6/15)</t>
  </si>
  <si>
    <t>Annual Rate (5/16 - 6/7)</t>
  </si>
  <si>
    <t>Daily Rate (5/16 - 6/7)</t>
  </si>
  <si>
    <t>Yield</t>
  </si>
  <si>
    <t>ATIRR</t>
  </si>
  <si>
    <t>2.28 BMO 7/29/2024</t>
  </si>
  <si>
    <t>Maturity</t>
  </si>
  <si>
    <t>Issuer</t>
  </si>
  <si>
    <t>Coupon</t>
  </si>
  <si>
    <t>TEY</t>
  </si>
  <si>
    <t>BANKS</t>
  </si>
  <si>
    <t>ROYAL BANK</t>
  </si>
  <si>
    <t>BANK OF MONTREAL</t>
  </si>
  <si>
    <t>CORPORATES (ALL DENOMIATED IN $CAD)</t>
  </si>
  <si>
    <t>BANK OF NOVA SCOTIA</t>
  </si>
  <si>
    <t>BELL CANADA</t>
  </si>
  <si>
    <t>TORONTO DOMINION</t>
  </si>
  <si>
    <t>SAPUTO</t>
  </si>
  <si>
    <t>TOYOTA</t>
  </si>
  <si>
    <t>CIBC</t>
  </si>
  <si>
    <t>LONG DURATION</t>
  </si>
  <si>
    <t>TELUS</t>
  </si>
  <si>
    <t>LOBLAW</t>
  </si>
  <si>
    <t>BELL</t>
  </si>
  <si>
    <t>&gt;$500k GIC RATES (FOR COMPARISON)</t>
  </si>
  <si>
    <t>Yrs to Mat</t>
  </si>
  <si>
    <t>MERCEDES BENZ (limited avail)</t>
  </si>
  <si>
    <t>ROGERS (limited avail)</t>
  </si>
  <si>
    <t>National Bank</t>
  </si>
  <si>
    <t>1-yr</t>
  </si>
  <si>
    <t>2-yr</t>
  </si>
  <si>
    <t>3-yr</t>
  </si>
  <si>
    <t>1-yr/30d cash</t>
  </si>
  <si>
    <t>APPLE (limited avail)</t>
  </si>
  <si>
    <t>GOVERNMENT</t>
  </si>
  <si>
    <t>GOVERNMENT OF CANADA</t>
  </si>
  <si>
    <t>CANADA</t>
  </si>
  <si>
    <t>SAMPLE $1mm PORTFOLIO</t>
  </si>
  <si>
    <t>1.415 SAPUTO 6/19/2026</t>
  </si>
  <si>
    <t>2.16 BNS 2/3/2025</t>
  </si>
  <si>
    <t>DESCRIPTION</t>
  </si>
  <si>
    <t>WEIGHTED AVERAGE</t>
  </si>
  <si>
    <t>2.667 TD 9/9/2025</t>
  </si>
  <si>
    <t>0.75 CANADA 2/1/2024</t>
  </si>
  <si>
    <t>BANK</t>
  </si>
  <si>
    <t>CORPORATE</t>
  </si>
  <si>
    <t>1.660 TOYOTA 7/20/2026</t>
  </si>
  <si>
    <t xml:space="preserve">           SIZE</t>
  </si>
  <si>
    <t>T + 2 Settlement date (mm/dd/yyyy):</t>
  </si>
  <si>
    <t>Accrued interest (act/365):</t>
  </si>
  <si>
    <t>After Tax IRR</t>
  </si>
  <si>
    <t>Tax Equivalent Yield</t>
  </si>
  <si>
    <t>© 2023 JAKOB GRAVES</t>
  </si>
  <si>
    <t>return is an annualized rate of return based on</t>
  </si>
  <si>
    <t>market price + accrued interest and the specified</t>
  </si>
  <si>
    <r>
      <rPr>
        <b/>
        <sz val="11"/>
        <color theme="1"/>
        <rFont val="Calibri"/>
        <family val="2"/>
        <scheme val="minor"/>
      </rPr>
      <t>After Tax IRR (ATIRR)</t>
    </r>
    <r>
      <rPr>
        <sz val="11"/>
        <color theme="1"/>
        <rFont val="Calibri"/>
        <family val="2"/>
        <scheme val="minor"/>
      </rPr>
      <t xml:space="preserve">: The after tax internal rate of </t>
    </r>
  </si>
  <si>
    <t>DEFINITIONS:</t>
  </si>
  <si>
    <t>to get the same ATIRR as the discount bond. This is</t>
  </si>
  <si>
    <t>income tax rate.</t>
  </si>
  <si>
    <t>comparable to a GIC rate or a bond trading at par.</t>
  </si>
  <si>
    <t>is the rate you would need on straight interest</t>
  </si>
  <si>
    <r>
      <rPr>
        <b/>
        <sz val="11"/>
        <color theme="1"/>
        <rFont val="Calibri"/>
        <family val="2"/>
        <scheme val="minor"/>
      </rPr>
      <t>Tax Equivalent Yield (TEY):</t>
    </r>
    <r>
      <rPr>
        <sz val="11"/>
        <color theme="1"/>
        <rFont val="Calibri"/>
        <family val="2"/>
        <scheme val="minor"/>
      </rPr>
      <t xml:space="preserve"> The Tax Equivalent Yield</t>
    </r>
  </si>
  <si>
    <t>GRAPH DATA</t>
  </si>
  <si>
    <t>SAMPLE AXE LIST</t>
  </si>
  <si>
    <t>Settle date 7/4/2023</t>
  </si>
  <si>
    <t>Scratchpad</t>
  </si>
  <si>
    <t>Capital gain tax rate (if special):</t>
  </si>
  <si>
    <t>Interest</t>
  </si>
  <si>
    <t>Capital Gain</t>
  </si>
  <si>
    <t>Gross</t>
  </si>
  <si>
    <t>After Tax</t>
  </si>
  <si>
    <t>Chart Parameters</t>
  </si>
  <si>
    <t>Transaction Summary</t>
  </si>
  <si>
    <t>Gross:</t>
  </si>
  <si>
    <t>Accrued Interest:</t>
  </si>
  <si>
    <t>Commission</t>
  </si>
  <si>
    <t>Total:</t>
  </si>
  <si>
    <t>BNS</t>
  </si>
  <si>
    <t>13607GFB5</t>
  </si>
  <si>
    <t>06415EV93</t>
  </si>
  <si>
    <t>05554PAB9</t>
  </si>
  <si>
    <t>89117F3M9</t>
  </si>
  <si>
    <t>949746TC5</t>
  </si>
  <si>
    <t>63306AHB5</t>
  </si>
  <si>
    <t>price</t>
  </si>
  <si>
    <t>cusip</t>
  </si>
  <si>
    <t>mat date</t>
  </si>
  <si>
    <t>lmtd avail</t>
  </si>
  <si>
    <t>expected call date 5/1/2025</t>
  </si>
  <si>
    <t>notes</t>
  </si>
  <si>
    <t>eventually want to include support for bonds with less than 6</t>
  </si>
  <si>
    <t>months to maturity (currently missing accrued interest tax benefit)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</si>
</sst>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  <numFmt numFmtId="167" formatCode="&quot;$&quot;#,##0.000_);[Red]\(&quot;$&quot;#,##0.000\)"/>
    <numFmt numFmtId="168" formatCode="_(* #,##0.00000_);_(* \(#,##0.00000\);_(* &quot;-&quot;??_);_(@_)"/>
    <numFmt numFmtId="169" formatCode="0.000%"/>
    <numFmt numFmtId="170" formatCode="0.0000%"/>
    <numFmt numFmtId="171" formatCode="0.0%"/>
    <numFmt numFmtId="172" formatCode="#,##0.000"/>
    <numFmt numFmtId="173" formatCode="#,##0.0000"/>
    <numFmt numFmtId="174" formatCode="#,##0.00000"/>
    <numFmt numFmtId="175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0" fontId="5" fillId="0" borderId="0" xfId="0" applyFont="1" applyAlignment="1">
      <alignment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0" xfId="0" applyFont="1" applyFill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5" xfId="0" applyBorder="1"/>
    <xf numFmtId="10" fontId="0" fillId="0" borderId="0" xfId="1" applyNumberFormat="1" applyFont="1"/>
    <xf numFmtId="0" fontId="0" fillId="4" borderId="0" xfId="0" applyFill="1"/>
    <xf numFmtId="10" fontId="0" fillId="4" borderId="0" xfId="1" applyNumberFormat="1" applyFont="1" applyFill="1"/>
    <xf numFmtId="10" fontId="0" fillId="4" borderId="0" xfId="0" applyNumberFormat="1" applyFill="1"/>
    <xf numFmtId="0" fontId="3" fillId="4" borderId="0" xfId="0" applyFont="1" applyFill="1"/>
    <xf numFmtId="10" fontId="3" fillId="4" borderId="0" xfId="0" applyNumberFormat="1" applyFont="1" applyFill="1"/>
    <xf numFmtId="10" fontId="1" fillId="4" borderId="0" xfId="1" applyNumberFormat="1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43" fontId="0" fillId="0" borderId="0" xfId="2" applyFont="1"/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8" fontId="0" fillId="0" borderId="0" xfId="0" applyNumberFormat="1"/>
    <xf numFmtId="167" fontId="0" fillId="0" borderId="0" xfId="0" applyNumberFormat="1"/>
    <xf numFmtId="14" fontId="0" fillId="4" borderId="0" xfId="0" applyNumberFormat="1" applyFill="1" applyAlignment="1">
      <alignment horizontal="left"/>
    </xf>
    <xf numFmtId="43" fontId="0" fillId="0" borderId="0" xfId="0" applyNumberFormat="1"/>
    <xf numFmtId="14" fontId="0" fillId="0" borderId="0" xfId="0" applyNumberFormat="1"/>
    <xf numFmtId="169" fontId="0" fillId="0" borderId="0" xfId="1" applyNumberFormat="1" applyFont="1"/>
    <xf numFmtId="164" fontId="3" fillId="4" borderId="0" xfId="0" applyNumberFormat="1" applyFont="1" applyFill="1"/>
    <xf numFmtId="10" fontId="0" fillId="0" borderId="0" xfId="1" applyNumberFormat="1" applyFont="1" applyAlignment="1"/>
    <xf numFmtId="0" fontId="0" fillId="0" borderId="5" xfId="0" applyFill="1" applyBorder="1"/>
    <xf numFmtId="0" fontId="7" fillId="0" borderId="0" xfId="0" applyFont="1"/>
    <xf numFmtId="10" fontId="0" fillId="0" borderId="0" xfId="0" applyNumberFormat="1"/>
    <xf numFmtId="164" fontId="0" fillId="0" borderId="1" xfId="0" applyNumberFormat="1" applyFill="1" applyBorder="1"/>
    <xf numFmtId="0" fontId="0" fillId="0" borderId="1" xfId="0" applyFill="1" applyBorder="1"/>
    <xf numFmtId="0" fontId="0" fillId="3" borderId="0" xfId="0" applyFill="1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4" fontId="0" fillId="0" borderId="6" xfId="0" applyNumberFormat="1" applyBorder="1" applyAlignment="1">
      <alignment horizontal="center"/>
    </xf>
    <xf numFmtId="43" fontId="0" fillId="0" borderId="6" xfId="2" applyFont="1" applyBorder="1" applyAlignment="1">
      <alignment horizontal="center"/>
    </xf>
    <xf numFmtId="43" fontId="3" fillId="0" borderId="6" xfId="0" applyNumberFormat="1" applyFont="1" applyBorder="1" applyAlignment="1">
      <alignment horizontal="center"/>
    </xf>
    <xf numFmtId="14" fontId="2" fillId="2" borderId="0" xfId="0" applyNumberFormat="1" applyFont="1" applyFill="1" applyAlignment="1">
      <alignment horizontal="center" vertical="center"/>
    </xf>
    <xf numFmtId="43" fontId="2" fillId="2" borderId="0" xfId="2" applyFont="1" applyFill="1" applyAlignment="1">
      <alignment horizontal="center" vertical="center"/>
    </xf>
    <xf numFmtId="43" fontId="2" fillId="2" borderId="0" xfId="0" applyNumberFormat="1" applyFont="1" applyFill="1" applyAlignment="1">
      <alignment horizontal="center" vertical="center" wrapText="1"/>
    </xf>
    <xf numFmtId="170" fontId="0" fillId="0" borderId="0" xfId="1" applyNumberFormat="1" applyFont="1"/>
    <xf numFmtId="4" fontId="0" fillId="0" borderId="0" xfId="0" applyNumberFormat="1"/>
    <xf numFmtId="0" fontId="3" fillId="0" borderId="6" xfId="0" applyFont="1" applyBorder="1"/>
    <xf numFmtId="4" fontId="3" fillId="0" borderId="6" xfId="0" applyNumberFormat="1" applyFont="1" applyBorder="1"/>
    <xf numFmtId="9" fontId="0" fillId="0" borderId="0" xfId="1" applyNumberFormat="1" applyFont="1"/>
    <xf numFmtId="43" fontId="3" fillId="0" borderId="6" xfId="2" applyFont="1" applyBorder="1"/>
    <xf numFmtId="2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169" fontId="3" fillId="4" borderId="0" xfId="1" applyNumberFormat="1" applyFont="1" applyFill="1"/>
    <xf numFmtId="166" fontId="0" fillId="0" borderId="0" xfId="2" applyNumberFormat="1" applyFont="1" applyAlignment="1">
      <alignment horizontal="center"/>
    </xf>
    <xf numFmtId="166" fontId="3" fillId="0" borderId="3" xfId="2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4" fontId="0" fillId="0" borderId="0" xfId="0" applyNumberFormat="1" applyAlignment="1" applyProtection="1">
      <alignment horizontal="left"/>
    </xf>
    <xf numFmtId="14" fontId="0" fillId="3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10" fontId="0" fillId="3" borderId="1" xfId="1" applyNumberFormat="1" applyFont="1" applyFill="1" applyBorder="1" applyProtection="1">
      <protection locked="0"/>
    </xf>
    <xf numFmtId="172" fontId="0" fillId="0" borderId="0" xfId="0" applyNumberFormat="1" applyProtection="1"/>
    <xf numFmtId="173" fontId="0" fillId="0" borderId="0" xfId="0" applyNumberFormat="1" applyAlignment="1">
      <alignment horizontal="right"/>
    </xf>
    <xf numFmtId="173" fontId="0" fillId="0" borderId="0" xfId="0" applyNumberFormat="1"/>
    <xf numFmtId="0" fontId="9" fillId="0" borderId="0" xfId="0" applyFont="1" applyFill="1"/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vertical="top"/>
    </xf>
    <xf numFmtId="171" fontId="0" fillId="0" borderId="9" xfId="1" applyNumberFormat="1" applyFont="1" applyBorder="1"/>
    <xf numFmtId="0" fontId="0" fillId="0" borderId="9" xfId="0" applyBorder="1"/>
    <xf numFmtId="1" fontId="0" fillId="0" borderId="5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3" fontId="0" fillId="0" borderId="0" xfId="0" applyNumberFormat="1"/>
    <xf numFmtId="0" fontId="0" fillId="6" borderId="7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0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0" fillId="6" borderId="2" xfId="0" applyFill="1" applyBorder="1" applyProtection="1">
      <protection locked="0"/>
    </xf>
    <xf numFmtId="0" fontId="0" fillId="6" borderId="3" xfId="0" applyFill="1" applyBorder="1" applyProtection="1">
      <protection locked="0"/>
    </xf>
    <xf numFmtId="0" fontId="0" fillId="6" borderId="4" xfId="0" applyFill="1" applyBorder="1" applyProtection="1">
      <protection locked="0"/>
    </xf>
    <xf numFmtId="173" fontId="0" fillId="6" borderId="3" xfId="0" applyNumberFormat="1" applyFill="1" applyBorder="1" applyProtection="1">
      <protection locked="0"/>
    </xf>
    <xf numFmtId="172" fontId="0" fillId="6" borderId="3" xfId="0" applyNumberFormat="1" applyFill="1" applyBorder="1" applyProtection="1">
      <protection locked="0"/>
    </xf>
    <xf numFmtId="174" fontId="0" fillId="6" borderId="2" xfId="0" applyNumberFormat="1" applyFill="1" applyBorder="1" applyProtection="1">
      <protection locked="0"/>
    </xf>
    <xf numFmtId="166" fontId="0" fillId="0" borderId="0" xfId="0" applyNumberFormat="1"/>
    <xf numFmtId="166" fontId="0" fillId="0" borderId="0" xfId="2" applyNumberFormat="1" applyFont="1"/>
    <xf numFmtId="43" fontId="0" fillId="3" borderId="0" xfId="2" applyFont="1" applyFill="1" applyAlignment="1" applyProtection="1">
      <alignment horizontal="right"/>
      <protection locked="0"/>
    </xf>
    <xf numFmtId="166" fontId="0" fillId="3" borderId="0" xfId="2" applyNumberFormat="1" applyFont="1" applyFill="1" applyAlignment="1" applyProtection="1">
      <alignment horizontal="right"/>
      <protection locked="0"/>
    </xf>
    <xf numFmtId="0" fontId="0" fillId="0" borderId="1" xfId="1" applyNumberFormat="1" applyFont="1" applyBorder="1" applyAlignment="1">
      <alignment horizontal="center"/>
    </xf>
    <xf numFmtId="3" fontId="0" fillId="3" borderId="1" xfId="2" applyNumberFormat="1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43" fontId="3" fillId="0" borderId="6" xfId="2" applyFont="1" applyFill="1" applyBorder="1" applyAlignment="1">
      <alignment horizontal="center"/>
    </xf>
    <xf numFmtId="43" fontId="1" fillId="5" borderId="0" xfId="2" applyFont="1" applyFill="1" applyBorder="1" applyAlignment="1">
      <alignment horizontal="center"/>
    </xf>
    <xf numFmtId="0" fontId="0" fillId="5" borderId="0" xfId="0" applyFill="1"/>
    <xf numFmtId="4" fontId="0" fillId="4" borderId="0" xfId="0" applyNumberFormat="1" applyFill="1"/>
    <xf numFmtId="169" fontId="0" fillId="0" borderId="1" xfId="1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5" fontId="0" fillId="6" borderId="3" xfId="0" applyNumberFormat="1" applyFill="1" applyBorder="1" applyProtection="1">
      <protection locked="0"/>
    </xf>
    <xf numFmtId="168" fontId="0" fillId="6" borderId="3" xfId="0" applyNumberFormat="1" applyFill="1" applyBorder="1" applyProtection="1">
      <protection locked="0"/>
    </xf>
    <xf numFmtId="14" fontId="0" fillId="6" borderId="3" xfId="0" applyNumberFormat="1" applyFill="1" applyBorder="1" applyProtection="1">
      <protection locked="0"/>
    </xf>
    <xf numFmtId="174" fontId="0" fillId="6" borderId="3" xfId="0" applyNumberFormat="1" applyFill="1" applyBorder="1" applyProtection="1">
      <protection locked="0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164" fontId="0" fillId="6" borderId="2" xfId="0" applyNumberFormat="1" applyFill="1" applyBorder="1" applyProtection="1">
      <protection locked="0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'Helper Sheet'!$E$9</c:f>
          <c:strCache>
            <c:ptCount val="1"/>
            <c:pt idx="0">
              <c:v>0.75 BNS 10/07/2024 RETURNS PROFILE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'Helper Sheet'!$F$11</c:f>
              <c:strCache>
                <c:ptCount val="1"/>
                <c:pt idx="0">
                  <c:v>Gross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'Helper Sheet'!$E$12:$E$13</c:f>
              <c:strCache>
                <c:ptCount val="2"/>
                <c:pt idx="0">
                  <c:v>Capital Gain</c:v>
                </c:pt>
                <c:pt idx="1">
                  <c:v>Interest</c:v>
                </c:pt>
              </c:strCache>
            </c:strRef>
          </c:cat>
          <c:val>
            <c:numRef>
              <c:f>'Helper Sheet'!$F$12:$F$13</c:f>
              <c:numCache>
                <c:formatCode>_(* #,##0_);_(* \(#,##0\);_(* "-"??_);_(@_)</c:formatCode>
                <c:ptCount val="2"/>
                <c:pt idx="0">
                  <c:v>52699.999999999964</c:v>
                </c:pt>
                <c:pt idx="1">
                  <c:v>8866.4383561643826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F-41F5-B938-C7866E4E7646}"/>
            </c:ext>
          </c:extLst>
        </c:ser>
        <c:ser>
          <c:idx val="1"/>
          <c:order val="1"/>
          <c:tx>
            <c:strRef>
              <c:f>'Helper Sheet'!$G$11</c:f>
              <c:strCache>
                <c:ptCount val="1"/>
                <c:pt idx="0">
                  <c:v>After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'Helper Sheet'!$E$12:$E$13</c:f>
              <c:strCache>
                <c:ptCount val="2"/>
                <c:pt idx="0">
                  <c:v>Capital Gain</c:v>
                </c:pt>
                <c:pt idx="1">
                  <c:v>Interest</c:v>
                </c:pt>
              </c:strCache>
            </c:strRef>
          </c:cat>
          <c:val>
            <c:numRef>
              <c:f>'Helper Sheet'!$G$12:$G$13</c:f>
              <c:numCache>
                <c:formatCode>_(* #,##0_);_(* \(#,##0\);_(* "-"??_);_(@_)</c:formatCode>
                <c:ptCount val="2"/>
                <c:pt idx="0">
                  <c:v>38602.749999999971</c:v>
                </c:pt>
                <c:pt idx="1">
                  <c:v>4122.8938356164381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F-41F5-B938-C7866E4E7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239935"/>
        <c:axId val="1934240767"/>
      </c:barChart>
      <c:catAx>
        <c:axId val="19342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40767"/>
        <c:crosses val="autoZero"/>
        <c:auto val="1"/>
        <c:lblAlgn val="ctr"/>
        <c:lblOffset val="100"/>
        <c:noMultiLvlLbl val="0"/>
      </c:catAx>
      <c:valAx>
        <c:axId val="19342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39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88515218917153"/>
          <c:y val="0.16203703703703703"/>
          <c:w val="0.50363666944475294"/>
          <c:h val="0.6811337124526101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1F-4775-B868-C225833F2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1F-4775-B868-C225833F2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1F-4775-B868-C225833F2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Sample!$I$35:$I$37</c:f>
              <c:strCache>
                <c:ptCount val="3"/>
                <c:pt idx="0">
                  <c:v>BANK</c:v>
                </c:pt>
                <c:pt idx="1">
                  <c:v>CORPORATE</c:v>
                </c:pt>
                <c:pt idx="2">
                  <c:v>GOVERNMENT</c:v>
                </c:pt>
              </c:strCache>
            </c:strRef>
          </c:cat>
          <c:val>
            <c:numRef>
              <c:f>Sample!$J$35:$J$37</c:f>
              <c:numCache>
                <c:formatCode>0.0%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F-4775-B868-C225833F2B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MATURITY</a:t>
            </a:r>
            <a:r>
              <a:rPr lang="en-US" baseline="0"/>
              <a:t>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Sample!$I$39:$I$41</c:f>
              <c:numCache>
                <c:formatCode>0</c:formatCode>
                <c:ptCount val="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</c:numCache>
            </c:numRef>
          </c:cat>
          <c:val>
            <c:numRef>
              <c:f>Sample!$J$39:$J$41</c:f>
              <c:numCache>
                <c:formatCode>0</c:formatCode>
                <c:ptCount val="3"/>
                <c:pt idx="0">
                  <c:v>300000</c:v>
                </c:pt>
                <c:pt idx="1">
                  <c:v>300000</c:v>
                </c:pt>
                <c:pt idx="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8-4D0B-B9CF-73C94F8B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160688"/>
        <c:axId val="1481161936"/>
      </c:barChart>
      <c:catAx>
        <c:axId val="1481160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61936"/>
        <c:crosses val="autoZero"/>
        <c:auto val="1"/>
        <c:lblAlgn val="ctr"/>
        <c:lblOffset val="100"/>
        <c:noMultiLvlLbl val="0"/>
      </c:catAx>
      <c:valAx>
        <c:axId val="14811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60688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'Helper Sheet'!$E$9</c:f>
          <c:strCache>
            <c:ptCount val="1"/>
            <c:pt idx="0">
              <c:v>0.75 BNS 10/07/2024 RETURNS PROFILE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'Helper Sheet'!$F$11</c:f>
              <c:strCache>
                <c:ptCount val="1"/>
                <c:pt idx="0">
                  <c:v>Gross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'Helper Sheet'!$E$12:$E$13</c:f>
              <c:strCache>
                <c:ptCount val="2"/>
                <c:pt idx="0">
                  <c:v>Capital Gain</c:v>
                </c:pt>
                <c:pt idx="1">
                  <c:v>Interest</c:v>
                </c:pt>
              </c:strCache>
            </c:strRef>
          </c:cat>
          <c:val>
            <c:numRef>
              <c:f>'Helper Sheet'!$F$12:$F$13</c:f>
              <c:numCache>
                <c:formatCode>_(* #,##0_);_(* \(#,##0\);_(* "-"??_);_(@_)</c:formatCode>
                <c:ptCount val="2"/>
                <c:pt idx="0">
                  <c:v>52699.999999999964</c:v>
                </c:pt>
                <c:pt idx="1">
                  <c:v>8866.4383561643826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2-459B-95FB-CF70C3E29827}"/>
            </c:ext>
          </c:extLst>
        </c:ser>
        <c:ser>
          <c:idx val="1"/>
          <c:order val="1"/>
          <c:tx>
            <c:strRef>
              <c:f>'Helper Sheet'!$G$11</c:f>
              <c:strCache>
                <c:ptCount val="1"/>
                <c:pt idx="0">
                  <c:v>After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'Helper Sheet'!$E$12:$E$13</c:f>
              <c:strCache>
                <c:ptCount val="2"/>
                <c:pt idx="0">
                  <c:v>Capital Gain</c:v>
                </c:pt>
                <c:pt idx="1">
                  <c:v>Interest</c:v>
                </c:pt>
              </c:strCache>
            </c:strRef>
          </c:cat>
          <c:val>
            <c:numRef>
              <c:f>'Helper Sheet'!$G$12:$G$13</c:f>
              <c:numCache>
                <c:formatCode>_(* #,##0_);_(* \(#,##0\);_(* "-"??_);_(@_)</c:formatCode>
                <c:ptCount val="2"/>
                <c:pt idx="0">
                  <c:v>38602.749999999971</c:v>
                </c:pt>
                <c:pt idx="1">
                  <c:v>4122.8938356164381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2-459B-95FB-CF70C3E29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239935"/>
        <c:axId val="1934240767"/>
      </c:barChart>
      <c:catAx>
        <c:axId val="19342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40767"/>
        <c:crosses val="autoZero"/>
        <c:auto val="1"/>
        <c:lblAlgn val="ctr"/>
        <c:lblOffset val="100"/>
        <c:noMultiLvlLbl val="0"/>
      </c:catAx>
      <c:valAx>
        <c:axId val="19342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in/jakob-graves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0</xdr:row>
      <xdr:rowOff>66675</xdr:rowOff>
    </xdr:from>
    <xdr:to>
      <xdr:col>10</xdr:col>
      <xdr:colOff>885825</xdr:colOff>
      <xdr:row>1</xdr:row>
      <xdr:rowOff>57150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4EFD0B-01B8-1B61-DE19-8CEA06D7A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666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32</xdr:row>
      <xdr:rowOff>152399</xdr:rowOff>
    </xdr:from>
    <xdr:to>
      <xdr:col>19</xdr:col>
      <xdr:colOff>561975</xdr:colOff>
      <xdr:row>49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BB106-7A81-4D52-B7DC-D29C7461E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15</xdr:row>
      <xdr:rowOff>38100</xdr:rowOff>
    </xdr:from>
    <xdr:to>
      <xdr:col>11</xdr:col>
      <xdr:colOff>9525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D8582-B4D9-4EAA-9406-CE601B9A7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9415462" y="3000375"/>
    <xdr:ext cx="2376488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69E23-6069-47AD-8E7B-2545026D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8</xdr:row>
      <xdr:rowOff>47625</xdr:rowOff>
    </xdr:from>
    <xdr:to>
      <xdr:col>15</xdr:col>
      <xdr:colOff>542925</xdr:colOff>
      <xdr:row>23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00752-531E-5379-F2D5-8DCE742E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0C3E-A9B9-435C-A233-718B131D8EB9}">
  <dimension ref="A1:T70"/>
  <sheetViews>
    <sheetView showGridLines="0" tabSelected="1" zoomScaleNormal="100" workbookViewId="0">
      <selection activeCell="E8" sqref="E8:E16"/>
    </sheetView>
  </sheetViews>
  <sheetFormatPr defaultRowHeight="15" x14ac:dyDescent="0.25"/>
  <cols>
    <col min="3" max="3" width="16" customWidth="1"/>
    <col min="4" max="4" width="12" customWidth="1"/>
    <col min="5" max="5" width="9.7109375" customWidth="1"/>
    <col min="6" max="6" width="12.28515625" customWidth="1"/>
    <col min="7" max="7" width="15.5703125" customWidth="1"/>
    <col min="8" max="8" width="3.5703125" customWidth="1"/>
    <col min="9" max="9" width="9" customWidth="1"/>
    <col min="10" max="10" width="13.140625" style="17" customWidth="1"/>
    <col min="11" max="11" width="17.85546875" bestFit="1" customWidth="1"/>
    <col min="12" max="12" width="2.28515625" customWidth="1"/>
    <col min="13" max="13" width="4.28515625" customWidth="1"/>
    <col min="16" max="16" width="11.140625" bestFit="1" customWidth="1"/>
    <col min="17" max="17" width="10.5703125" customWidth="1"/>
  </cols>
  <sheetData>
    <row r="1" spans="1:20" ht="23.25" x14ac:dyDescent="0.35">
      <c r="A1" s="1" t="s">
        <v>0</v>
      </c>
      <c r="J1" t="s">
        <v>92</v>
      </c>
    </row>
    <row r="2" spans="1:20" x14ac:dyDescent="0.25">
      <c r="A2" s="2" t="s">
        <v>1</v>
      </c>
    </row>
    <row r="4" spans="1:20" x14ac:dyDescent="0.25">
      <c r="A4" s="119" t="s">
        <v>2</v>
      </c>
      <c r="B4" s="119"/>
      <c r="C4" s="119"/>
      <c r="D4" s="119"/>
      <c r="F4" s="119" t="s">
        <v>6</v>
      </c>
      <c r="G4" s="119"/>
      <c r="H4" s="119"/>
      <c r="J4" s="119" t="s">
        <v>11</v>
      </c>
      <c r="K4" s="119"/>
      <c r="L4" s="119"/>
      <c r="O4" s="119" t="s">
        <v>105</v>
      </c>
      <c r="P4" s="119"/>
      <c r="Q4" s="119"/>
      <c r="R4" s="119"/>
      <c r="S4" s="119"/>
      <c r="T4" s="119"/>
    </row>
    <row r="5" spans="1:20" x14ac:dyDescent="0.25">
      <c r="O5" s="84"/>
      <c r="P5" s="85"/>
      <c r="Q5" s="85"/>
      <c r="R5" s="85"/>
      <c r="S5" s="85"/>
      <c r="T5" s="86"/>
    </row>
    <row r="6" spans="1:20" x14ac:dyDescent="0.25">
      <c r="A6" s="37" t="s">
        <v>32</v>
      </c>
      <c r="B6" s="37"/>
      <c r="C6" s="37"/>
      <c r="O6" s="87"/>
      <c r="P6" s="88"/>
      <c r="Q6" s="88"/>
      <c r="R6" s="88"/>
      <c r="S6" s="88"/>
      <c r="T6" s="89"/>
    </row>
    <row r="7" spans="1:20" x14ac:dyDescent="0.25">
      <c r="D7" s="28"/>
      <c r="O7" s="90"/>
      <c r="P7" s="91"/>
      <c r="Q7" s="91"/>
      <c r="R7" s="91"/>
      <c r="S7" s="91"/>
      <c r="T7" s="92"/>
    </row>
    <row r="8" spans="1:20" x14ac:dyDescent="0.25">
      <c r="A8" s="3" t="s">
        <v>88</v>
      </c>
      <c r="B8" s="4"/>
      <c r="C8" s="5"/>
      <c r="D8" s="67">
        <v>45139</v>
      </c>
      <c r="F8" s="16" t="s">
        <v>9</v>
      </c>
      <c r="G8" s="6" t="s">
        <v>34</v>
      </c>
      <c r="J8" s="16" t="s">
        <v>9</v>
      </c>
      <c r="K8" s="6" t="s">
        <v>33</v>
      </c>
      <c r="O8" s="116" t="s">
        <v>76</v>
      </c>
      <c r="P8" s="117" t="s">
        <v>126</v>
      </c>
      <c r="Q8" s="117" t="s">
        <v>124</v>
      </c>
      <c r="R8" s="117" t="s">
        <v>125</v>
      </c>
      <c r="S8" s="117" t="s">
        <v>49</v>
      </c>
      <c r="T8" s="95" t="s">
        <v>129</v>
      </c>
    </row>
    <row r="9" spans="1:20" x14ac:dyDescent="0.25">
      <c r="A9" s="3" t="s">
        <v>8</v>
      </c>
      <c r="B9" s="4"/>
      <c r="C9" s="5"/>
      <c r="D9" s="67">
        <v>45572</v>
      </c>
      <c r="F9" s="66">
        <f>D8</f>
        <v>45139</v>
      </c>
      <c r="G9" s="70">
        <f>-D12-D13</f>
        <v>-94.968356164383565</v>
      </c>
      <c r="J9" s="7">
        <f>F9</f>
        <v>45139</v>
      </c>
      <c r="K9" s="71">
        <f>G9</f>
        <v>-94.968356164383565</v>
      </c>
      <c r="O9" s="93">
        <v>2.35</v>
      </c>
      <c r="P9" s="114">
        <v>45532</v>
      </c>
      <c r="Q9" s="94">
        <v>96.489549999999994</v>
      </c>
      <c r="R9" s="94" t="s">
        <v>118</v>
      </c>
      <c r="S9" s="94">
        <v>7.76</v>
      </c>
      <c r="T9" s="95"/>
    </row>
    <row r="10" spans="1:20" x14ac:dyDescent="0.25">
      <c r="A10" s="3" t="s">
        <v>7</v>
      </c>
      <c r="B10" s="4"/>
      <c r="C10" s="5"/>
      <c r="D10" s="68">
        <v>2</v>
      </c>
      <c r="F10" s="66">
        <f>D9</f>
        <v>45572</v>
      </c>
      <c r="G10" s="70">
        <f>D14+D11/D10</f>
        <v>100.375</v>
      </c>
      <c r="J10" s="7">
        <f>F10</f>
        <v>45572</v>
      </c>
      <c r="K10" s="72">
        <f>D12+((1-D16)*(D14-D12))+(D11*(1-D15)/D10)</f>
        <v>98.764650000000003</v>
      </c>
      <c r="O10" s="93">
        <v>2.16</v>
      </c>
      <c r="P10" s="114">
        <v>45691</v>
      </c>
      <c r="Q10" s="94">
        <v>94.903869999999998</v>
      </c>
      <c r="R10" s="94" t="s">
        <v>119</v>
      </c>
      <c r="S10" s="94">
        <v>7.82</v>
      </c>
      <c r="T10" s="95"/>
    </row>
    <row r="11" spans="1:20" x14ac:dyDescent="0.25">
      <c r="A11" s="3" t="s">
        <v>5</v>
      </c>
      <c r="B11" s="4"/>
      <c r="C11" s="5"/>
      <c r="D11" s="68">
        <v>0.75</v>
      </c>
      <c r="F11" s="66">
        <f>IF(ISERROR(IF(EDATE(F10,-12/$D$10)&gt;=$F$9,EDATE(F10,-12/$D$10),"")),"",IF(EDATE(F10,-12/$D$10)&gt;=$F$9,EDATE(F10,-12/$D$10),""))</f>
        <v>45389</v>
      </c>
      <c r="G11" s="70">
        <f t="shared" ref="G11:G42" si="0">IF(F11="","",$D$11/$D$10)</f>
        <v>0.375</v>
      </c>
      <c r="J11" s="7">
        <f t="shared" ref="J11:J15" si="1">F11</f>
        <v>45389</v>
      </c>
      <c r="K11" s="72">
        <f>IF(J11=MIN(J11:J70),G11-$D$15*(($D$11/$D$10)-$D$13),IF(F11="","",(1-$D$15)*$D$11/$D$10))</f>
        <v>0.174375</v>
      </c>
      <c r="O11" s="93">
        <v>1.68</v>
      </c>
      <c r="P11" s="114">
        <v>45719</v>
      </c>
      <c r="Q11" s="94">
        <v>94.05</v>
      </c>
      <c r="R11" s="94" t="s">
        <v>120</v>
      </c>
      <c r="S11" s="94">
        <v>7.99</v>
      </c>
      <c r="T11" s="95" t="s">
        <v>127</v>
      </c>
    </row>
    <row r="12" spans="1:20" x14ac:dyDescent="0.25">
      <c r="A12" s="3" t="s">
        <v>4</v>
      </c>
      <c r="B12" s="4"/>
      <c r="C12" s="5"/>
      <c r="D12" s="68">
        <v>94.73</v>
      </c>
      <c r="F12" s="66">
        <f t="shared" ref="F12:F42" si="2">IF(ISERROR(IF(EDATE(F11,-12/$D$10)&gt;=$F$9,EDATE(F11,-12/$D$10),"")),"",IF(EDATE(F11,-12/$D$10)&gt;=$F$9,EDATE(F11,-12/$D$10),""))</f>
        <v>45206</v>
      </c>
      <c r="G12" s="70">
        <f>IF(F12="","",$D$11/$D$10)</f>
        <v>0.375</v>
      </c>
      <c r="J12" s="7">
        <f t="shared" si="1"/>
        <v>45206</v>
      </c>
      <c r="K12" s="72">
        <f t="shared" ref="K12:K70" si="3">IF(J12=MIN(J12:J71),G12-$D$15*(($D$11/$D$10)-$D$13),IF(F12="","",(1-$D$15)*$D$11/$D$10))</f>
        <v>0.30189554794520546</v>
      </c>
      <c r="M12" s="18"/>
      <c r="O12" s="93">
        <v>2.6669999999999998</v>
      </c>
      <c r="P12" s="114">
        <v>45909</v>
      </c>
      <c r="Q12" s="94">
        <v>94.109399999999994</v>
      </c>
      <c r="R12" s="94" t="s">
        <v>121</v>
      </c>
      <c r="S12" s="94">
        <v>7.43</v>
      </c>
      <c r="T12" s="95"/>
    </row>
    <row r="13" spans="1:20" x14ac:dyDescent="0.25">
      <c r="A13" s="32" t="s">
        <v>89</v>
      </c>
      <c r="D13" s="35">
        <f>IF(FALSE,0,ACCRINT(EDATE((INDEX(F:F,(70-(COUNTIF(G10:G70,""))))),-6),(INDEX(F:F,(70-(COUNTIF(G10:G70,""))))),D8,D11/100,100,2,3))</f>
        <v>0.23835616438356166</v>
      </c>
      <c r="F13" s="66" t="str">
        <f t="shared" si="2"/>
        <v/>
      </c>
      <c r="G13" s="70" t="str">
        <f t="shared" si="0"/>
        <v/>
      </c>
      <c r="H13" s="28"/>
      <c r="J13" s="7" t="str">
        <f t="shared" si="1"/>
        <v/>
      </c>
      <c r="K13" s="72" t="str">
        <f t="shared" si="3"/>
        <v/>
      </c>
      <c r="M13" s="27"/>
      <c r="O13" s="93">
        <v>2.5680000000000001</v>
      </c>
      <c r="P13" s="114">
        <v>46143</v>
      </c>
      <c r="Q13" s="115">
        <v>94.230909999999994</v>
      </c>
      <c r="R13" s="94" t="s">
        <v>122</v>
      </c>
      <c r="S13" s="94">
        <v>8.16</v>
      </c>
      <c r="T13" s="95" t="s">
        <v>128</v>
      </c>
    </row>
    <row r="14" spans="1:20" x14ac:dyDescent="0.25">
      <c r="A14" s="3" t="s">
        <v>3</v>
      </c>
      <c r="B14" s="4"/>
      <c r="C14" s="5"/>
      <c r="D14" s="36">
        <v>100</v>
      </c>
      <c r="F14" s="66" t="str">
        <f>IF(ISERROR(IF(EDATE(F13,-12/$D$10)&gt;=$F$9,EDATE(F13,-12/$D$10),"")),"",IF(EDATE(F13,-12/$D$10)&gt;=$F$9,EDATE(F13,-12/$D$10),""))</f>
        <v/>
      </c>
      <c r="G14" s="70" t="str">
        <f t="shared" si="0"/>
        <v/>
      </c>
      <c r="H14" s="28"/>
      <c r="J14" s="7" t="str">
        <f t="shared" si="1"/>
        <v/>
      </c>
      <c r="K14" s="72" t="str">
        <f t="shared" si="3"/>
        <v/>
      </c>
      <c r="O14" s="93">
        <v>2.2370000000000001</v>
      </c>
      <c r="P14" s="114">
        <v>46330</v>
      </c>
      <c r="Q14" s="94">
        <v>90.514480000000006</v>
      </c>
      <c r="R14" s="94" t="s">
        <v>123</v>
      </c>
      <c r="S14" s="94">
        <v>7.35</v>
      </c>
      <c r="T14" s="95"/>
    </row>
    <row r="15" spans="1:20" x14ac:dyDescent="0.25">
      <c r="A15" s="8" t="s">
        <v>12</v>
      </c>
      <c r="D15" s="69">
        <v>0.53500000000000003</v>
      </c>
      <c r="F15" s="66" t="str">
        <f t="shared" si="2"/>
        <v/>
      </c>
      <c r="G15" s="70" t="str">
        <f t="shared" si="0"/>
        <v/>
      </c>
      <c r="H15" s="28"/>
      <c r="J15" s="7" t="str">
        <f t="shared" si="1"/>
        <v/>
      </c>
      <c r="K15" s="72" t="str">
        <f t="shared" si="3"/>
        <v/>
      </c>
      <c r="O15" s="93"/>
      <c r="P15" s="96"/>
      <c r="Q15" s="97"/>
      <c r="R15" s="94"/>
      <c r="S15" s="94"/>
      <c r="T15" s="95"/>
    </row>
    <row r="16" spans="1:20" x14ac:dyDescent="0.25">
      <c r="A16" s="3" t="s">
        <v>106</v>
      </c>
      <c r="B16" s="4"/>
      <c r="C16" s="5"/>
      <c r="D16" s="69">
        <f>D15/2</f>
        <v>0.26750000000000002</v>
      </c>
      <c r="F16" s="66" t="str">
        <f t="shared" si="2"/>
        <v/>
      </c>
      <c r="G16" s="70" t="str">
        <f t="shared" si="0"/>
        <v/>
      </c>
      <c r="H16" s="28"/>
      <c r="J16" s="7" t="str">
        <f>F16</f>
        <v/>
      </c>
      <c r="K16" s="72" t="str">
        <f t="shared" si="3"/>
        <v/>
      </c>
      <c r="O16" s="93"/>
      <c r="P16" s="96"/>
      <c r="Q16" s="94"/>
      <c r="R16" s="94"/>
      <c r="S16" s="94"/>
      <c r="T16" s="95"/>
    </row>
    <row r="17" spans="1:20" x14ac:dyDescent="0.25">
      <c r="F17" s="66" t="str">
        <f>IF(ISERROR(IF(EDATE(F16,-12/$D$10)&gt;=$F$9,EDATE(F16,-12/$D$10),"")),"",IF(EDATE(F16,-12/$D$10)&gt;=$F$9,EDATE(F16,-12/$D$10),""))</f>
        <v/>
      </c>
      <c r="G17" s="70" t="str">
        <f t="shared" si="0"/>
        <v/>
      </c>
      <c r="H17" s="28"/>
      <c r="J17" s="7" t="str">
        <f t="shared" ref="J17:J70" si="4">F17</f>
        <v/>
      </c>
      <c r="K17" s="72" t="str">
        <f t="shared" si="3"/>
        <v/>
      </c>
      <c r="O17" s="118"/>
      <c r="P17" s="114"/>
      <c r="Q17" s="94"/>
      <c r="R17" s="94"/>
      <c r="S17" s="94"/>
      <c r="T17" s="95"/>
    </row>
    <row r="18" spans="1:20" x14ac:dyDescent="0.25">
      <c r="A18" s="119" t="s">
        <v>13</v>
      </c>
      <c r="B18" s="119"/>
      <c r="C18" s="119"/>
      <c r="D18" s="119"/>
      <c r="F18" s="66" t="str">
        <f t="shared" si="2"/>
        <v/>
      </c>
      <c r="G18" s="70" t="str">
        <f t="shared" si="0"/>
        <v/>
      </c>
      <c r="J18" s="7" t="str">
        <f t="shared" si="4"/>
        <v/>
      </c>
      <c r="K18" s="72" t="str">
        <f t="shared" si="3"/>
        <v/>
      </c>
      <c r="O18" s="98"/>
      <c r="P18" s="114"/>
      <c r="Q18" s="94"/>
      <c r="R18" s="94"/>
      <c r="S18" s="94"/>
      <c r="T18" s="95"/>
    </row>
    <row r="19" spans="1:20" x14ac:dyDescent="0.25">
      <c r="A19" s="10"/>
      <c r="B19" s="10"/>
      <c r="C19" s="10"/>
      <c r="D19" s="10"/>
      <c r="F19" s="66" t="str">
        <f t="shared" si="2"/>
        <v/>
      </c>
      <c r="G19" s="70" t="str">
        <f t="shared" si="0"/>
        <v/>
      </c>
      <c r="H19" s="28"/>
      <c r="J19" s="7" t="str">
        <f t="shared" si="4"/>
        <v/>
      </c>
      <c r="K19" s="72" t="str">
        <f t="shared" si="3"/>
        <v/>
      </c>
      <c r="O19" s="93"/>
      <c r="P19" s="114"/>
      <c r="Q19" s="94"/>
      <c r="R19" s="94"/>
      <c r="S19" s="94"/>
      <c r="T19" s="95"/>
    </row>
    <row r="20" spans="1:20" x14ac:dyDescent="0.25">
      <c r="A20" s="10" t="s">
        <v>16</v>
      </c>
      <c r="B20" s="10"/>
      <c r="C20" s="10"/>
      <c r="D20" s="11">
        <f>YIELD(D8,D9,D11/100,D12,D14,D10,1)</f>
        <v>5.4074595137205007E-2</v>
      </c>
      <c r="F20" s="66" t="str">
        <f t="shared" si="2"/>
        <v/>
      </c>
      <c r="G20" s="70" t="str">
        <f t="shared" si="0"/>
        <v/>
      </c>
      <c r="H20" s="28"/>
      <c r="J20" s="7" t="str">
        <f t="shared" si="4"/>
        <v/>
      </c>
      <c r="K20" s="72" t="str">
        <f t="shared" si="3"/>
        <v/>
      </c>
      <c r="O20" s="93"/>
      <c r="P20" s="94"/>
      <c r="Q20" s="94"/>
      <c r="R20" s="94"/>
      <c r="S20" s="94"/>
      <c r="T20" s="95"/>
    </row>
    <row r="21" spans="1:20" x14ac:dyDescent="0.25">
      <c r="A21" s="10" t="s">
        <v>14</v>
      </c>
      <c r="B21" s="10"/>
      <c r="C21" s="10"/>
      <c r="D21" s="15">
        <f>YIELD(D8,D9,((1-$D$15)*$D$11)/(D12+D13),D12,D12+((1-D16)*(D14-D12)),D10,1)</f>
        <v>3.787681443780868E-2</v>
      </c>
      <c r="E21" s="9"/>
      <c r="F21" s="66" t="str">
        <f t="shared" si="2"/>
        <v/>
      </c>
      <c r="G21" s="70" t="str">
        <f t="shared" si="0"/>
        <v/>
      </c>
      <c r="H21" s="28"/>
      <c r="J21" s="7" t="str">
        <f t="shared" si="4"/>
        <v/>
      </c>
      <c r="K21" s="72" t="str">
        <f t="shared" si="3"/>
        <v/>
      </c>
      <c r="O21" s="93"/>
      <c r="P21" s="94"/>
      <c r="Q21" s="94"/>
      <c r="R21" s="94"/>
      <c r="S21" s="94"/>
      <c r="T21" s="95"/>
    </row>
    <row r="22" spans="1:20" x14ac:dyDescent="0.25">
      <c r="A22" s="10" t="s">
        <v>15</v>
      </c>
      <c r="B22" s="10"/>
      <c r="C22" s="10"/>
      <c r="D22" s="12">
        <f>D24-D20</f>
        <v>2.7479165258050157E-2</v>
      </c>
      <c r="F22" s="66" t="str">
        <f t="shared" si="2"/>
        <v/>
      </c>
      <c r="G22" s="70" t="str">
        <f t="shared" si="0"/>
        <v/>
      </c>
      <c r="H22" s="31"/>
      <c r="J22" s="7" t="str">
        <f t="shared" si="4"/>
        <v/>
      </c>
      <c r="K22" s="72" t="str">
        <f t="shared" si="3"/>
        <v/>
      </c>
      <c r="O22" s="84"/>
      <c r="P22" s="85"/>
      <c r="Q22" s="85"/>
      <c r="R22" s="85"/>
      <c r="S22" s="85"/>
      <c r="T22" s="86"/>
    </row>
    <row r="23" spans="1:20" x14ac:dyDescent="0.25">
      <c r="A23" s="10"/>
      <c r="B23" s="10"/>
      <c r="C23" s="10"/>
      <c r="D23" s="10"/>
      <c r="F23" s="66" t="str">
        <f t="shared" si="2"/>
        <v/>
      </c>
      <c r="G23" s="70" t="str">
        <f t="shared" si="0"/>
        <v/>
      </c>
      <c r="J23" s="7" t="str">
        <f t="shared" si="4"/>
        <v/>
      </c>
      <c r="K23" s="72" t="str">
        <f t="shared" si="3"/>
        <v/>
      </c>
      <c r="O23" s="93"/>
      <c r="P23" s="94"/>
      <c r="Q23" s="94"/>
      <c r="R23" s="94"/>
      <c r="S23" s="94"/>
      <c r="T23" s="95"/>
    </row>
    <row r="24" spans="1:20" x14ac:dyDescent="0.25">
      <c r="A24" s="13" t="s">
        <v>91</v>
      </c>
      <c r="B24" s="13"/>
      <c r="C24" s="13"/>
      <c r="D24" s="14">
        <f>D25/(1-D15)</f>
        <v>8.1553760395255165E-2</v>
      </c>
      <c r="E24" s="9"/>
      <c r="F24" s="66" t="str">
        <f>IF(ISERROR(IF(EDATE(F23,-12/$D$10)&gt;=$F$9,EDATE(F23,-12/$D$10),"")),"",IF(EDATE(F23,-12/$D$10)&gt;=$F$9,EDATE(F23,-12/$D$10),""))</f>
        <v/>
      </c>
      <c r="G24" s="70" t="str">
        <f t="shared" si="0"/>
        <v/>
      </c>
      <c r="J24" s="7" t="str">
        <f t="shared" si="4"/>
        <v/>
      </c>
      <c r="K24" s="72" t="str">
        <f t="shared" si="3"/>
        <v/>
      </c>
      <c r="O24" s="93"/>
      <c r="P24" s="112"/>
      <c r="Q24" s="94"/>
      <c r="R24" s="94"/>
      <c r="S24" s="113"/>
      <c r="T24" s="95"/>
    </row>
    <row r="25" spans="1:20" x14ac:dyDescent="0.25">
      <c r="A25" s="13" t="s">
        <v>90</v>
      </c>
      <c r="B25" s="10"/>
      <c r="C25" s="10"/>
      <c r="D25" s="61">
        <f>XIRR('Helper Sheet'!B2:B54,'Helper Sheet'!A2:A54)</f>
        <v>3.7922498583793651E-2</v>
      </c>
      <c r="E25" s="29"/>
      <c r="F25" s="66" t="str">
        <f t="shared" si="2"/>
        <v/>
      </c>
      <c r="G25" s="70" t="str">
        <f t="shared" si="0"/>
        <v/>
      </c>
      <c r="J25" s="7" t="str">
        <f t="shared" si="4"/>
        <v/>
      </c>
      <c r="K25" s="72" t="str">
        <f t="shared" si="3"/>
        <v/>
      </c>
      <c r="O25" s="93"/>
      <c r="P25" s="94"/>
      <c r="Q25" s="94"/>
      <c r="R25" s="94"/>
      <c r="S25" s="94"/>
      <c r="T25" s="95"/>
    </row>
    <row r="26" spans="1:20" x14ac:dyDescent="0.25">
      <c r="A26" s="13" t="s">
        <v>30</v>
      </c>
      <c r="B26" s="10"/>
      <c r="C26" s="10"/>
      <c r="D26" s="30">
        <f>((K9/100)+(K10/100))+SUM(K11:K70)/100</f>
        <v>4.2725643835616431E-2</v>
      </c>
      <c r="F26" s="66" t="str">
        <f t="shared" si="2"/>
        <v/>
      </c>
      <c r="G26" s="70" t="str">
        <f t="shared" si="0"/>
        <v/>
      </c>
      <c r="J26" s="7" t="str">
        <f t="shared" si="4"/>
        <v/>
      </c>
      <c r="K26" s="72" t="str">
        <f t="shared" si="3"/>
        <v/>
      </c>
      <c r="O26" s="93"/>
      <c r="P26" s="94"/>
      <c r="Q26" s="94"/>
      <c r="R26" s="94"/>
      <c r="S26" s="94"/>
      <c r="T26" s="95"/>
    </row>
    <row r="27" spans="1:20" x14ac:dyDescent="0.25">
      <c r="A27" s="10"/>
      <c r="B27" s="10"/>
      <c r="C27" s="10"/>
      <c r="D27" s="10"/>
      <c r="F27" s="66" t="str">
        <f t="shared" si="2"/>
        <v/>
      </c>
      <c r="G27" s="70" t="str">
        <f t="shared" si="0"/>
        <v/>
      </c>
      <c r="J27" s="7" t="str">
        <f t="shared" si="4"/>
        <v/>
      </c>
      <c r="K27" s="72" t="str">
        <f t="shared" si="3"/>
        <v/>
      </c>
      <c r="O27" s="93" t="s">
        <v>130</v>
      </c>
      <c r="P27" s="94"/>
      <c r="Q27" s="94"/>
      <c r="R27" s="94"/>
      <c r="S27" s="94"/>
      <c r="T27" s="95"/>
    </row>
    <row r="28" spans="1:20" x14ac:dyDescent="0.25">
      <c r="D28" s="34"/>
      <c r="F28" s="66" t="str">
        <f t="shared" si="2"/>
        <v/>
      </c>
      <c r="G28" s="70" t="str">
        <f t="shared" si="0"/>
        <v/>
      </c>
      <c r="J28" s="7" t="str">
        <f t="shared" si="4"/>
        <v/>
      </c>
      <c r="K28" s="72" t="str">
        <f t="shared" si="3"/>
        <v/>
      </c>
      <c r="O28" s="93" t="s">
        <v>131</v>
      </c>
      <c r="P28" s="94"/>
      <c r="Q28" s="94"/>
      <c r="R28" s="94"/>
      <c r="S28" s="94"/>
      <c r="T28" s="95"/>
    </row>
    <row r="29" spans="1:20" x14ac:dyDescent="0.25">
      <c r="A29" s="73" t="s">
        <v>96</v>
      </c>
      <c r="F29" s="66" t="str">
        <f t="shared" si="2"/>
        <v/>
      </c>
      <c r="G29" s="70" t="str">
        <f t="shared" si="0"/>
        <v/>
      </c>
      <c r="J29" s="7" t="str">
        <f t="shared" si="4"/>
        <v/>
      </c>
      <c r="K29" s="72" t="str">
        <f t="shared" si="3"/>
        <v/>
      </c>
    </row>
    <row r="30" spans="1:20" x14ac:dyDescent="0.25">
      <c r="F30" s="66" t="str">
        <f t="shared" si="2"/>
        <v/>
      </c>
      <c r="G30" s="70" t="str">
        <f t="shared" si="0"/>
        <v/>
      </c>
      <c r="J30" s="7" t="str">
        <f t="shared" si="4"/>
        <v/>
      </c>
      <c r="K30" s="72" t="str">
        <f t="shared" si="3"/>
        <v/>
      </c>
      <c r="O30" s="122" t="s">
        <v>111</v>
      </c>
      <c r="P30" s="123"/>
      <c r="Q30" s="124"/>
    </row>
    <row r="31" spans="1:20" x14ac:dyDescent="0.25">
      <c r="A31" s="120" t="s">
        <v>95</v>
      </c>
      <c r="B31" s="120"/>
      <c r="C31" s="120"/>
      <c r="D31" s="120"/>
      <c r="F31" s="66" t="str">
        <f t="shared" si="2"/>
        <v/>
      </c>
      <c r="G31" s="70" t="str">
        <f t="shared" si="0"/>
        <v/>
      </c>
      <c r="J31" s="7" t="str">
        <f t="shared" si="4"/>
        <v/>
      </c>
      <c r="K31" s="72" t="str">
        <f t="shared" si="3"/>
        <v/>
      </c>
      <c r="O31" t="s">
        <v>47</v>
      </c>
      <c r="Q31" s="101" t="s">
        <v>117</v>
      </c>
    </row>
    <row r="32" spans="1:20" x14ac:dyDescent="0.25">
      <c r="A32" t="s">
        <v>93</v>
      </c>
      <c r="F32" s="66" t="str">
        <f t="shared" si="2"/>
        <v/>
      </c>
      <c r="G32" s="70" t="str">
        <f t="shared" si="0"/>
        <v/>
      </c>
      <c r="J32" s="7" t="str">
        <f t="shared" si="4"/>
        <v/>
      </c>
      <c r="K32" s="72" t="str">
        <f t="shared" si="3"/>
        <v/>
      </c>
      <c r="O32" t="s">
        <v>24</v>
      </c>
      <c r="Q32" s="102">
        <v>1000000</v>
      </c>
    </row>
    <row r="33" spans="1:11" x14ac:dyDescent="0.25">
      <c r="A33" t="s">
        <v>94</v>
      </c>
      <c r="F33" s="66" t="str">
        <f t="shared" si="2"/>
        <v/>
      </c>
      <c r="G33" s="70" t="str">
        <f t="shared" si="0"/>
        <v/>
      </c>
      <c r="J33" s="7" t="str">
        <f t="shared" si="4"/>
        <v/>
      </c>
      <c r="K33" s="72" t="str">
        <f t="shared" si="3"/>
        <v/>
      </c>
    </row>
    <row r="34" spans="1:11" x14ac:dyDescent="0.25">
      <c r="A34" t="s">
        <v>98</v>
      </c>
      <c r="F34" s="66" t="str">
        <f t="shared" si="2"/>
        <v/>
      </c>
      <c r="G34" s="70" t="str">
        <f t="shared" si="0"/>
        <v/>
      </c>
      <c r="J34" s="7" t="str">
        <f t="shared" si="4"/>
        <v/>
      </c>
      <c r="K34" s="72" t="str">
        <f t="shared" si="3"/>
        <v/>
      </c>
    </row>
    <row r="35" spans="1:11" x14ac:dyDescent="0.25">
      <c r="F35" s="66" t="str">
        <f t="shared" si="2"/>
        <v/>
      </c>
      <c r="G35" s="70" t="str">
        <f t="shared" si="0"/>
        <v/>
      </c>
      <c r="J35" s="7" t="str">
        <f t="shared" si="4"/>
        <v/>
      </c>
      <c r="K35" s="72" t="str">
        <f t="shared" si="3"/>
        <v/>
      </c>
    </row>
    <row r="36" spans="1:11" x14ac:dyDescent="0.25">
      <c r="A36" s="120" t="s">
        <v>101</v>
      </c>
      <c r="B36" s="121"/>
      <c r="C36" s="121"/>
      <c r="D36" s="121"/>
      <c r="F36" s="66" t="str">
        <f t="shared" si="2"/>
        <v/>
      </c>
      <c r="G36" s="70" t="str">
        <f t="shared" si="0"/>
        <v/>
      </c>
      <c r="J36" s="7" t="str">
        <f t="shared" si="4"/>
        <v/>
      </c>
      <c r="K36" s="72" t="str">
        <f t="shared" si="3"/>
        <v/>
      </c>
    </row>
    <row r="37" spans="1:11" x14ac:dyDescent="0.25">
      <c r="A37" t="s">
        <v>100</v>
      </c>
      <c r="F37" s="66" t="str">
        <f t="shared" si="2"/>
        <v/>
      </c>
      <c r="G37" s="70" t="str">
        <f t="shared" si="0"/>
        <v/>
      </c>
      <c r="J37" s="7" t="str">
        <f t="shared" si="4"/>
        <v/>
      </c>
      <c r="K37" s="72" t="str">
        <f t="shared" si="3"/>
        <v/>
      </c>
    </row>
    <row r="38" spans="1:11" x14ac:dyDescent="0.25">
      <c r="A38" t="s">
        <v>97</v>
      </c>
      <c r="F38" s="66" t="str">
        <f t="shared" si="2"/>
        <v/>
      </c>
      <c r="G38" s="70" t="str">
        <f t="shared" si="0"/>
        <v/>
      </c>
      <c r="J38" s="7" t="str">
        <f t="shared" si="4"/>
        <v/>
      </c>
      <c r="K38" s="72" t="str">
        <f t="shared" si="3"/>
        <v/>
      </c>
    </row>
    <row r="39" spans="1:11" x14ac:dyDescent="0.25">
      <c r="A39" t="s">
        <v>99</v>
      </c>
      <c r="F39" s="66" t="str">
        <f t="shared" si="2"/>
        <v/>
      </c>
      <c r="G39" s="70" t="str">
        <f t="shared" si="0"/>
        <v/>
      </c>
      <c r="J39" s="7" t="str">
        <f t="shared" si="4"/>
        <v/>
      </c>
      <c r="K39" s="72" t="str">
        <f t="shared" si="3"/>
        <v/>
      </c>
    </row>
    <row r="40" spans="1:11" x14ac:dyDescent="0.25">
      <c r="F40" s="66" t="str">
        <f t="shared" si="2"/>
        <v/>
      </c>
      <c r="G40" s="70" t="str">
        <f t="shared" si="0"/>
        <v/>
      </c>
      <c r="J40" s="7" t="str">
        <f t="shared" si="4"/>
        <v/>
      </c>
      <c r="K40" s="72" t="str">
        <f t="shared" si="3"/>
        <v/>
      </c>
    </row>
    <row r="41" spans="1:11" x14ac:dyDescent="0.25">
      <c r="F41" s="66" t="str">
        <f t="shared" si="2"/>
        <v/>
      </c>
      <c r="G41" s="70" t="str">
        <f t="shared" si="0"/>
        <v/>
      </c>
      <c r="J41" s="7" t="str">
        <f t="shared" si="4"/>
        <v/>
      </c>
      <c r="K41" s="72" t="str">
        <f t="shared" si="3"/>
        <v/>
      </c>
    </row>
    <row r="42" spans="1:11" x14ac:dyDescent="0.25">
      <c r="F42" s="66" t="str">
        <f t="shared" si="2"/>
        <v/>
      </c>
      <c r="G42" s="70" t="str">
        <f t="shared" si="0"/>
        <v/>
      </c>
      <c r="J42" s="7" t="str">
        <f t="shared" si="4"/>
        <v/>
      </c>
      <c r="K42" s="72" t="str">
        <f t="shared" si="3"/>
        <v/>
      </c>
    </row>
    <row r="43" spans="1:11" x14ac:dyDescent="0.25">
      <c r="F43" s="66" t="str">
        <f t="shared" ref="F43:F70" si="5">IF(ISERROR(IF(EDATE(F42,-12/$D$10)&gt;=$F$9,EDATE(F42,-12/$D$10),"")),"",IF(EDATE(F42,-12/$D$10)&gt;=$F$9,EDATE(F42,-12/$D$10),""))</f>
        <v/>
      </c>
      <c r="G43" s="70" t="str">
        <f t="shared" ref="G43:G70" si="6">IF(F43="","",$D$11/$D$10)</f>
        <v/>
      </c>
      <c r="J43" s="7" t="str">
        <f t="shared" si="4"/>
        <v/>
      </c>
      <c r="K43" s="72" t="str">
        <f t="shared" si="3"/>
        <v/>
      </c>
    </row>
    <row r="44" spans="1:11" x14ac:dyDescent="0.25">
      <c r="F44" s="66" t="str">
        <f t="shared" si="5"/>
        <v/>
      </c>
      <c r="G44" s="70" t="str">
        <f t="shared" si="6"/>
        <v/>
      </c>
      <c r="J44" s="7" t="str">
        <f t="shared" si="4"/>
        <v/>
      </c>
      <c r="K44" s="72" t="str">
        <f t="shared" si="3"/>
        <v/>
      </c>
    </row>
    <row r="45" spans="1:11" x14ac:dyDescent="0.25">
      <c r="F45" s="66" t="str">
        <f t="shared" si="5"/>
        <v/>
      </c>
      <c r="G45" s="70" t="str">
        <f t="shared" si="6"/>
        <v/>
      </c>
      <c r="J45" s="7" t="str">
        <f t="shared" si="4"/>
        <v/>
      </c>
      <c r="K45" s="72" t="str">
        <f t="shared" si="3"/>
        <v/>
      </c>
    </row>
    <row r="46" spans="1:11" x14ac:dyDescent="0.25">
      <c r="F46" s="66" t="str">
        <f t="shared" si="5"/>
        <v/>
      </c>
      <c r="G46" s="70" t="str">
        <f t="shared" si="6"/>
        <v/>
      </c>
      <c r="J46" s="7" t="str">
        <f t="shared" si="4"/>
        <v/>
      </c>
      <c r="K46" s="72" t="str">
        <f t="shared" si="3"/>
        <v/>
      </c>
    </row>
    <row r="47" spans="1:11" x14ac:dyDescent="0.25">
      <c r="F47" s="66" t="str">
        <f t="shared" si="5"/>
        <v/>
      </c>
      <c r="G47" s="70" t="str">
        <f t="shared" si="6"/>
        <v/>
      </c>
      <c r="J47" s="7" t="str">
        <f t="shared" si="4"/>
        <v/>
      </c>
      <c r="K47" s="72" t="str">
        <f t="shared" si="3"/>
        <v/>
      </c>
    </row>
    <row r="48" spans="1:11" x14ac:dyDescent="0.25">
      <c r="F48" s="66" t="str">
        <f t="shared" si="5"/>
        <v/>
      </c>
      <c r="G48" s="70" t="str">
        <f t="shared" si="6"/>
        <v/>
      </c>
      <c r="J48" s="7" t="str">
        <f t="shared" si="4"/>
        <v/>
      </c>
      <c r="K48" s="72" t="str">
        <f t="shared" si="3"/>
        <v/>
      </c>
    </row>
    <row r="49" spans="6:11" x14ac:dyDescent="0.25">
      <c r="F49" s="66" t="str">
        <f t="shared" si="5"/>
        <v/>
      </c>
      <c r="G49" s="70" t="str">
        <f t="shared" si="6"/>
        <v/>
      </c>
      <c r="J49" s="7" t="str">
        <f t="shared" si="4"/>
        <v/>
      </c>
      <c r="K49" s="72" t="str">
        <f t="shared" si="3"/>
        <v/>
      </c>
    </row>
    <row r="50" spans="6:11" x14ac:dyDescent="0.25">
      <c r="F50" s="66" t="str">
        <f t="shared" si="5"/>
        <v/>
      </c>
      <c r="G50" s="70" t="str">
        <f t="shared" si="6"/>
        <v/>
      </c>
      <c r="J50" s="7" t="str">
        <f t="shared" si="4"/>
        <v/>
      </c>
      <c r="K50" s="72" t="str">
        <f t="shared" si="3"/>
        <v/>
      </c>
    </row>
    <row r="51" spans="6:11" x14ac:dyDescent="0.25">
      <c r="F51" s="66" t="str">
        <f t="shared" si="5"/>
        <v/>
      </c>
      <c r="G51" s="70" t="str">
        <f t="shared" si="6"/>
        <v/>
      </c>
      <c r="J51" s="7" t="str">
        <f t="shared" si="4"/>
        <v/>
      </c>
      <c r="K51" s="72" t="str">
        <f t="shared" si="3"/>
        <v/>
      </c>
    </row>
    <row r="52" spans="6:11" x14ac:dyDescent="0.25">
      <c r="F52" s="66" t="str">
        <f t="shared" si="5"/>
        <v/>
      </c>
      <c r="G52" s="70" t="str">
        <f t="shared" si="6"/>
        <v/>
      </c>
      <c r="J52" s="7" t="str">
        <f t="shared" si="4"/>
        <v/>
      </c>
      <c r="K52" s="72" t="str">
        <f t="shared" si="3"/>
        <v/>
      </c>
    </row>
    <row r="53" spans="6:11" x14ac:dyDescent="0.25">
      <c r="F53" s="66" t="str">
        <f t="shared" si="5"/>
        <v/>
      </c>
      <c r="G53" s="70" t="str">
        <f t="shared" si="6"/>
        <v/>
      </c>
      <c r="J53" s="7" t="str">
        <f t="shared" si="4"/>
        <v/>
      </c>
      <c r="K53" s="72" t="str">
        <f t="shared" si="3"/>
        <v/>
      </c>
    </row>
    <row r="54" spans="6:11" x14ac:dyDescent="0.25">
      <c r="F54" s="66" t="str">
        <f t="shared" si="5"/>
        <v/>
      </c>
      <c r="G54" s="70" t="str">
        <f t="shared" si="6"/>
        <v/>
      </c>
      <c r="J54" s="7" t="str">
        <f t="shared" si="4"/>
        <v/>
      </c>
      <c r="K54" s="72" t="str">
        <f t="shared" si="3"/>
        <v/>
      </c>
    </row>
    <row r="55" spans="6:11" x14ac:dyDescent="0.25">
      <c r="F55" s="66" t="str">
        <f t="shared" si="5"/>
        <v/>
      </c>
      <c r="G55" s="70" t="str">
        <f t="shared" si="6"/>
        <v/>
      </c>
      <c r="J55" s="7" t="str">
        <f t="shared" si="4"/>
        <v/>
      </c>
      <c r="K55" s="72" t="str">
        <f t="shared" si="3"/>
        <v/>
      </c>
    </row>
    <row r="56" spans="6:11" x14ac:dyDescent="0.25">
      <c r="F56" s="66" t="str">
        <f t="shared" si="5"/>
        <v/>
      </c>
      <c r="G56" s="70" t="str">
        <f t="shared" si="6"/>
        <v/>
      </c>
      <c r="J56" s="7" t="str">
        <f t="shared" si="4"/>
        <v/>
      </c>
      <c r="K56" s="72" t="str">
        <f t="shared" si="3"/>
        <v/>
      </c>
    </row>
    <row r="57" spans="6:11" x14ac:dyDescent="0.25">
      <c r="F57" s="66" t="str">
        <f t="shared" si="5"/>
        <v/>
      </c>
      <c r="G57" s="70" t="str">
        <f t="shared" si="6"/>
        <v/>
      </c>
      <c r="J57" s="7" t="str">
        <f t="shared" si="4"/>
        <v/>
      </c>
      <c r="K57" s="72" t="str">
        <f t="shared" si="3"/>
        <v/>
      </c>
    </row>
    <row r="58" spans="6:11" x14ac:dyDescent="0.25">
      <c r="F58" s="66" t="str">
        <f t="shared" si="5"/>
        <v/>
      </c>
      <c r="G58" s="70" t="str">
        <f t="shared" si="6"/>
        <v/>
      </c>
      <c r="J58" s="7" t="str">
        <f t="shared" si="4"/>
        <v/>
      </c>
      <c r="K58" s="72" t="str">
        <f t="shared" si="3"/>
        <v/>
      </c>
    </row>
    <row r="59" spans="6:11" x14ac:dyDescent="0.25">
      <c r="F59" s="66" t="str">
        <f t="shared" si="5"/>
        <v/>
      </c>
      <c r="G59" s="70" t="str">
        <f t="shared" si="6"/>
        <v/>
      </c>
      <c r="J59" s="7" t="str">
        <f t="shared" si="4"/>
        <v/>
      </c>
      <c r="K59" s="72" t="str">
        <f t="shared" si="3"/>
        <v/>
      </c>
    </row>
    <row r="60" spans="6:11" x14ac:dyDescent="0.25">
      <c r="F60" s="66" t="str">
        <f t="shared" si="5"/>
        <v/>
      </c>
      <c r="G60" s="70" t="str">
        <f t="shared" si="6"/>
        <v/>
      </c>
      <c r="J60" s="7" t="str">
        <f t="shared" si="4"/>
        <v/>
      </c>
      <c r="K60" s="72" t="str">
        <f t="shared" si="3"/>
        <v/>
      </c>
    </row>
    <row r="61" spans="6:11" x14ac:dyDescent="0.25">
      <c r="F61" s="66" t="str">
        <f t="shared" si="5"/>
        <v/>
      </c>
      <c r="G61" s="70" t="str">
        <f t="shared" si="6"/>
        <v/>
      </c>
      <c r="J61" s="7" t="str">
        <f t="shared" si="4"/>
        <v/>
      </c>
      <c r="K61" s="72" t="str">
        <f t="shared" si="3"/>
        <v/>
      </c>
    </row>
    <row r="62" spans="6:11" x14ac:dyDescent="0.25">
      <c r="F62" s="66" t="str">
        <f t="shared" si="5"/>
        <v/>
      </c>
      <c r="G62" s="70" t="str">
        <f t="shared" si="6"/>
        <v/>
      </c>
      <c r="J62" s="7" t="str">
        <f t="shared" si="4"/>
        <v/>
      </c>
      <c r="K62" s="72" t="str">
        <f t="shared" si="3"/>
        <v/>
      </c>
    </row>
    <row r="63" spans="6:11" x14ac:dyDescent="0.25">
      <c r="F63" s="66" t="str">
        <f t="shared" si="5"/>
        <v/>
      </c>
      <c r="G63" s="70" t="str">
        <f t="shared" si="6"/>
        <v/>
      </c>
      <c r="J63" s="7" t="str">
        <f t="shared" si="4"/>
        <v/>
      </c>
      <c r="K63" s="72" t="str">
        <f t="shared" si="3"/>
        <v/>
      </c>
    </row>
    <row r="64" spans="6:11" x14ac:dyDescent="0.25">
      <c r="F64" s="66" t="str">
        <f t="shared" si="5"/>
        <v/>
      </c>
      <c r="G64" s="70" t="str">
        <f t="shared" si="6"/>
        <v/>
      </c>
      <c r="J64" s="7" t="str">
        <f t="shared" si="4"/>
        <v/>
      </c>
      <c r="K64" s="72" t="str">
        <f t="shared" si="3"/>
        <v/>
      </c>
    </row>
    <row r="65" spans="6:11" x14ac:dyDescent="0.25">
      <c r="F65" s="66" t="str">
        <f t="shared" si="5"/>
        <v/>
      </c>
      <c r="G65" s="70" t="str">
        <f t="shared" si="6"/>
        <v/>
      </c>
      <c r="J65" s="7" t="str">
        <f t="shared" si="4"/>
        <v/>
      </c>
      <c r="K65" s="72" t="str">
        <f t="shared" si="3"/>
        <v/>
      </c>
    </row>
    <row r="66" spans="6:11" x14ac:dyDescent="0.25">
      <c r="F66" s="66" t="str">
        <f t="shared" si="5"/>
        <v/>
      </c>
      <c r="G66" s="70" t="str">
        <f t="shared" si="6"/>
        <v/>
      </c>
      <c r="J66" s="7" t="str">
        <f t="shared" si="4"/>
        <v/>
      </c>
      <c r="K66" s="72" t="str">
        <f t="shared" si="3"/>
        <v/>
      </c>
    </row>
    <row r="67" spans="6:11" x14ac:dyDescent="0.25">
      <c r="F67" s="66" t="str">
        <f t="shared" si="5"/>
        <v/>
      </c>
      <c r="G67" s="70" t="str">
        <f t="shared" si="6"/>
        <v/>
      </c>
      <c r="J67" s="7" t="str">
        <f t="shared" si="4"/>
        <v/>
      </c>
      <c r="K67" s="72" t="str">
        <f t="shared" si="3"/>
        <v/>
      </c>
    </row>
    <row r="68" spans="6:11" x14ac:dyDescent="0.25">
      <c r="F68" s="66" t="str">
        <f t="shared" si="5"/>
        <v/>
      </c>
      <c r="G68" s="70" t="str">
        <f t="shared" si="6"/>
        <v/>
      </c>
      <c r="J68" s="7" t="str">
        <f t="shared" si="4"/>
        <v/>
      </c>
      <c r="K68" s="72" t="str">
        <f t="shared" si="3"/>
        <v/>
      </c>
    </row>
    <row r="69" spans="6:11" x14ac:dyDescent="0.25">
      <c r="F69" s="66" t="str">
        <f t="shared" si="5"/>
        <v/>
      </c>
      <c r="G69" s="70" t="str">
        <f t="shared" si="6"/>
        <v/>
      </c>
      <c r="J69" s="7" t="str">
        <f t="shared" si="4"/>
        <v/>
      </c>
      <c r="K69" s="72" t="str">
        <f t="shared" si="3"/>
        <v/>
      </c>
    </row>
    <row r="70" spans="6:11" x14ac:dyDescent="0.25">
      <c r="F70" s="66" t="str">
        <f t="shared" si="5"/>
        <v/>
      </c>
      <c r="G70" s="70" t="str">
        <f t="shared" si="6"/>
        <v/>
      </c>
      <c r="J70" s="7" t="str">
        <f t="shared" si="4"/>
        <v/>
      </c>
      <c r="K70" s="72" t="str">
        <f t="shared" si="3"/>
        <v/>
      </c>
    </row>
  </sheetData>
  <mergeCells count="8">
    <mergeCell ref="O4:T4"/>
    <mergeCell ref="A36:D36"/>
    <mergeCell ref="A4:D4"/>
    <mergeCell ref="J4:L4"/>
    <mergeCell ref="A18:D18"/>
    <mergeCell ref="F4:H4"/>
    <mergeCell ref="A31:D31"/>
    <mergeCell ref="O30:Q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C506-87A6-4D83-8E6A-093882959248}">
  <dimension ref="A1:P58"/>
  <sheetViews>
    <sheetView showGridLines="0" showRowColHeaders="0" topLeftCell="A13" workbookViewId="0">
      <selection activeCell="R14" sqref="R14"/>
    </sheetView>
  </sheetViews>
  <sheetFormatPr defaultRowHeight="15" x14ac:dyDescent="0.25"/>
  <cols>
    <col min="1" max="1" width="38.7109375" bestFit="1" customWidth="1"/>
    <col min="2" max="2" width="12.7109375" bestFit="1" customWidth="1"/>
    <col min="3" max="3" width="7.85546875" bestFit="1" customWidth="1"/>
    <col min="4" max="5" width="6.140625" bestFit="1" customWidth="1"/>
    <col min="6" max="6" width="11" bestFit="1" customWidth="1"/>
    <col min="7" max="7" width="10" bestFit="1" customWidth="1"/>
    <col min="8" max="8" width="10.140625" bestFit="1" customWidth="1"/>
    <col min="9" max="9" width="14" customWidth="1"/>
    <col min="10" max="10" width="24.85546875" bestFit="1" customWidth="1"/>
    <col min="14" max="14" width="10.42578125" customWidth="1"/>
    <col min="15" max="15" width="6" hidden="1" customWidth="1"/>
    <col min="16" max="17" width="10.85546875" customWidth="1"/>
  </cols>
  <sheetData>
    <row r="1" spans="1:16" ht="18.75" x14ac:dyDescent="0.3">
      <c r="A1" s="74" t="s">
        <v>103</v>
      </c>
    </row>
    <row r="2" spans="1:16" x14ac:dyDescent="0.25">
      <c r="A2" s="76" t="s">
        <v>104</v>
      </c>
    </row>
    <row r="3" spans="1:16" x14ac:dyDescent="0.25">
      <c r="A3" s="76"/>
    </row>
    <row r="4" spans="1:16" x14ac:dyDescent="0.25">
      <c r="A4" s="58" t="s">
        <v>50</v>
      </c>
    </row>
    <row r="5" spans="1:16" ht="18.75" x14ac:dyDescent="0.3">
      <c r="A5" s="16" t="s">
        <v>47</v>
      </c>
      <c r="B5" s="56" t="s">
        <v>46</v>
      </c>
      <c r="C5" s="56" t="s">
        <v>48</v>
      </c>
      <c r="D5" s="56" t="s">
        <v>43</v>
      </c>
      <c r="E5" s="56" t="s">
        <v>44</v>
      </c>
      <c r="F5" s="56" t="s">
        <v>49</v>
      </c>
      <c r="G5" s="56" t="s">
        <v>65</v>
      </c>
      <c r="I5" s="75" t="s">
        <v>77</v>
      </c>
    </row>
    <row r="6" spans="1:16" x14ac:dyDescent="0.25">
      <c r="A6" s="17" t="s">
        <v>51</v>
      </c>
      <c r="B6" s="40">
        <v>45475</v>
      </c>
      <c r="C6" s="59">
        <v>2.3519999999999999</v>
      </c>
      <c r="D6" s="54">
        <v>5.58</v>
      </c>
      <c r="E6" s="54">
        <v>3.51</v>
      </c>
      <c r="F6" s="54">
        <v>7.55</v>
      </c>
      <c r="G6" s="54">
        <f t="shared" ref="G6:G11" ca="1" si="0">_xlfn.DAYS(B6,TODAY())/365</f>
        <v>0.92328767123287669</v>
      </c>
    </row>
    <row r="7" spans="1:16" x14ac:dyDescent="0.25">
      <c r="A7" s="17" t="s">
        <v>52</v>
      </c>
      <c r="B7" s="40">
        <v>45502</v>
      </c>
      <c r="C7" s="59">
        <v>2.2799999999999998</v>
      </c>
      <c r="D7" s="54">
        <v>5.6</v>
      </c>
      <c r="E7" s="54">
        <v>3.52</v>
      </c>
      <c r="F7" s="54">
        <v>7.56</v>
      </c>
      <c r="G7" s="54">
        <f t="shared" ca="1" si="0"/>
        <v>0.99726027397260275</v>
      </c>
      <c r="I7" s="56" t="s">
        <v>87</v>
      </c>
      <c r="J7" s="56" t="s">
        <v>80</v>
      </c>
      <c r="K7" s="56" t="s">
        <v>43</v>
      </c>
      <c r="L7" s="56" t="s">
        <v>44</v>
      </c>
      <c r="M7" s="56" t="s">
        <v>49</v>
      </c>
      <c r="N7" s="56" t="s">
        <v>65</v>
      </c>
    </row>
    <row r="8" spans="1:16" x14ac:dyDescent="0.25">
      <c r="A8" s="17" t="s">
        <v>59</v>
      </c>
      <c r="B8" s="40">
        <v>45532</v>
      </c>
      <c r="C8" s="59">
        <v>2.35</v>
      </c>
      <c r="D8" s="54">
        <v>5.63</v>
      </c>
      <c r="E8" s="54">
        <v>3.52</v>
      </c>
      <c r="F8" s="54">
        <v>7.58</v>
      </c>
      <c r="G8" s="54">
        <f t="shared" ca="1" si="0"/>
        <v>1.0794520547945206</v>
      </c>
      <c r="I8" s="62">
        <v>100000</v>
      </c>
      <c r="J8" s="57" t="s">
        <v>83</v>
      </c>
      <c r="K8" s="57">
        <v>4.92</v>
      </c>
      <c r="L8" s="57">
        <v>3.42</v>
      </c>
      <c r="M8" s="54">
        <v>7.3548387096774199</v>
      </c>
      <c r="N8" s="54">
        <v>0.59452054794520548</v>
      </c>
      <c r="O8" s="27">
        <f t="shared" ref="O8:O13" si="1">I8/1000000</f>
        <v>0.1</v>
      </c>
    </row>
    <row r="9" spans="1:16" x14ac:dyDescent="0.25">
      <c r="A9" s="17" t="s">
        <v>54</v>
      </c>
      <c r="B9" s="40">
        <v>45691</v>
      </c>
      <c r="C9" s="59">
        <v>2.16</v>
      </c>
      <c r="D9" s="54">
        <v>5.71</v>
      </c>
      <c r="E9" s="54">
        <v>3.62</v>
      </c>
      <c r="F9" s="54">
        <v>7.79</v>
      </c>
      <c r="G9" s="54">
        <f t="shared" ca="1" si="0"/>
        <v>1.515068493150685</v>
      </c>
      <c r="I9" s="62">
        <v>200000</v>
      </c>
      <c r="J9" s="57" t="s">
        <v>45</v>
      </c>
      <c r="K9" s="57">
        <v>5.6</v>
      </c>
      <c r="L9" s="57">
        <v>3.52</v>
      </c>
      <c r="M9" s="57">
        <v>7.56</v>
      </c>
      <c r="N9" s="54">
        <v>1.08</v>
      </c>
      <c r="O9" s="27">
        <f t="shared" si="1"/>
        <v>0.2</v>
      </c>
    </row>
    <row r="10" spans="1:16" x14ac:dyDescent="0.25">
      <c r="A10" s="17" t="s">
        <v>51</v>
      </c>
      <c r="B10" s="40">
        <v>45929</v>
      </c>
      <c r="C10" s="59">
        <v>3.3690000000000002</v>
      </c>
      <c r="D10" s="54">
        <v>5.51</v>
      </c>
      <c r="E10" s="54">
        <v>3.15</v>
      </c>
      <c r="F10" s="54">
        <v>6.78</v>
      </c>
      <c r="G10" s="54">
        <f t="shared" ca="1" si="0"/>
        <v>2.1671232876712327</v>
      </c>
      <c r="I10" s="62">
        <v>200000</v>
      </c>
      <c r="J10" s="57" t="s">
        <v>79</v>
      </c>
      <c r="K10" s="54">
        <v>5.71</v>
      </c>
      <c r="L10" s="54">
        <v>3.62</v>
      </c>
      <c r="M10" s="54">
        <v>7.79</v>
      </c>
      <c r="N10" s="54">
        <v>1.6027397260273972</v>
      </c>
      <c r="O10" s="27">
        <f t="shared" si="1"/>
        <v>0.2</v>
      </c>
    </row>
    <row r="11" spans="1:16" x14ac:dyDescent="0.25">
      <c r="A11" s="17" t="s">
        <v>56</v>
      </c>
      <c r="B11" s="40">
        <v>45909</v>
      </c>
      <c r="C11" s="59">
        <v>2.6669999999999998</v>
      </c>
      <c r="D11" s="54">
        <v>5.51</v>
      </c>
      <c r="E11" s="54">
        <v>3.35</v>
      </c>
      <c r="F11" s="54">
        <v>7.19</v>
      </c>
      <c r="G11" s="54">
        <f t="shared" ca="1" si="0"/>
        <v>2.1123287671232878</v>
      </c>
      <c r="I11" s="62">
        <v>100000</v>
      </c>
      <c r="J11" s="57" t="s">
        <v>82</v>
      </c>
      <c r="K11" s="57">
        <v>5.51</v>
      </c>
      <c r="L11" s="57">
        <v>3.35</v>
      </c>
      <c r="M11" s="57">
        <v>7.19</v>
      </c>
      <c r="N11" s="57">
        <v>2.2000000000000002</v>
      </c>
      <c r="O11" s="27">
        <f t="shared" si="1"/>
        <v>0.1</v>
      </c>
      <c r="P11" s="57"/>
    </row>
    <row r="12" spans="1:16" x14ac:dyDescent="0.25">
      <c r="A12" s="17"/>
      <c r="B12" s="57"/>
      <c r="C12" s="57"/>
      <c r="D12" s="57"/>
      <c r="E12" s="57"/>
      <c r="F12" s="57"/>
      <c r="G12" s="57"/>
      <c r="I12" s="65">
        <v>200000</v>
      </c>
      <c r="J12" s="57" t="s">
        <v>78</v>
      </c>
      <c r="K12" s="57">
        <v>5.24</v>
      </c>
      <c r="L12" s="57">
        <v>3.51</v>
      </c>
      <c r="M12" s="57">
        <v>7.54</v>
      </c>
      <c r="N12" s="54">
        <v>2.9753424657534246</v>
      </c>
      <c r="O12" s="27">
        <f t="shared" si="1"/>
        <v>0.2</v>
      </c>
      <c r="P12" s="57"/>
    </row>
    <row r="13" spans="1:16" x14ac:dyDescent="0.25">
      <c r="A13" s="60" t="s">
        <v>53</v>
      </c>
      <c r="B13" s="57"/>
      <c r="C13" s="57"/>
      <c r="D13" s="57"/>
      <c r="E13" s="57"/>
      <c r="F13" s="57"/>
      <c r="G13" s="57"/>
      <c r="I13" s="65">
        <v>200000</v>
      </c>
      <c r="J13" s="57" t="s">
        <v>86</v>
      </c>
      <c r="K13" s="54">
        <v>5.0999999999999996</v>
      </c>
      <c r="L13" s="54">
        <v>3.33</v>
      </c>
      <c r="M13" s="54">
        <v>7.16</v>
      </c>
      <c r="N13" s="54">
        <v>3.0602739726027397</v>
      </c>
      <c r="O13" s="27">
        <f t="shared" si="1"/>
        <v>0.2</v>
      </c>
      <c r="P13" s="57"/>
    </row>
    <row r="14" spans="1:16" x14ac:dyDescent="0.25">
      <c r="A14" s="16" t="s">
        <v>47</v>
      </c>
      <c r="B14" s="56" t="s">
        <v>46</v>
      </c>
      <c r="C14" s="56" t="s">
        <v>48</v>
      </c>
      <c r="D14" s="56" t="s">
        <v>43</v>
      </c>
      <c r="E14" s="56" t="s">
        <v>44</v>
      </c>
      <c r="F14" s="56" t="s">
        <v>49</v>
      </c>
      <c r="G14" s="56" t="s">
        <v>65</v>
      </c>
      <c r="I14" s="63">
        <f>SUM(I8:I13)</f>
        <v>1000000</v>
      </c>
      <c r="J14" s="55" t="s">
        <v>81</v>
      </c>
      <c r="K14" s="55">
        <f>SUMPRODUCT(K8:K13,O8:O13)</f>
        <v>5.3729999999999993</v>
      </c>
      <c r="L14" s="55">
        <f>SUMPRODUCT(L8:L13,O8:O13)</f>
        <v>3.4729999999999999</v>
      </c>
      <c r="M14" s="64">
        <f>SUMPRODUCT(M8:M13,O8:O13)</f>
        <v>7.4644838709677428</v>
      </c>
      <c r="N14" s="64">
        <f>SUMPRODUCT(N8:N13,O8:O13)</f>
        <v>2.0231232876712331</v>
      </c>
    </row>
    <row r="15" spans="1:16" x14ac:dyDescent="0.25">
      <c r="A15" s="17" t="s">
        <v>66</v>
      </c>
      <c r="B15" s="40">
        <v>45364</v>
      </c>
      <c r="C15" s="59">
        <v>2.97</v>
      </c>
      <c r="D15" s="57">
        <v>5.47</v>
      </c>
      <c r="E15" s="57">
        <v>3.25</v>
      </c>
      <c r="F15" s="57">
        <v>6.98</v>
      </c>
      <c r="G15" s="54">
        <f ca="1">_xlfn.DAYS(B15,TODAY())/365</f>
        <v>0.61917808219178083</v>
      </c>
    </row>
    <row r="16" spans="1:16" x14ac:dyDescent="0.25">
      <c r="A16" s="17" t="s">
        <v>73</v>
      </c>
      <c r="B16" s="40">
        <v>45554</v>
      </c>
      <c r="C16" s="59">
        <v>2.5129999999999999</v>
      </c>
      <c r="D16" s="57">
        <v>5.09</v>
      </c>
      <c r="E16" s="57">
        <v>3.07</v>
      </c>
      <c r="F16" s="57">
        <v>6.61</v>
      </c>
      <c r="G16" s="54">
        <f ca="1">_xlfn.DAYS(B16,TODAY())/365</f>
        <v>1.1397260273972603</v>
      </c>
    </row>
    <row r="17" spans="1:7" x14ac:dyDescent="0.25">
      <c r="A17" s="17" t="s">
        <v>55</v>
      </c>
      <c r="B17" s="40">
        <v>45728</v>
      </c>
      <c r="C17" s="59">
        <v>3.35</v>
      </c>
      <c r="D17" s="57">
        <v>5.54</v>
      </c>
      <c r="E17" s="57">
        <v>3.19</v>
      </c>
      <c r="F17" s="57">
        <v>6.85</v>
      </c>
      <c r="G17" s="54">
        <f ca="1">_xlfn.DAYS(B17,TODAY())/365</f>
        <v>1.6164383561643836</v>
      </c>
    </row>
    <row r="18" spans="1:7" x14ac:dyDescent="0.25">
      <c r="A18" s="17" t="s">
        <v>57</v>
      </c>
      <c r="B18" s="40">
        <v>46192</v>
      </c>
      <c r="C18" s="59">
        <v>1.415</v>
      </c>
      <c r="D18" s="57">
        <v>5.24</v>
      </c>
      <c r="E18" s="57">
        <v>3.51</v>
      </c>
      <c r="F18" s="57">
        <v>7.54</v>
      </c>
      <c r="G18" s="54">
        <f ca="1">_xlfn.DAYS(B18,TODAY())/365</f>
        <v>2.8876712328767122</v>
      </c>
    </row>
    <row r="19" spans="1:7" x14ac:dyDescent="0.25">
      <c r="A19" s="17" t="s">
        <v>58</v>
      </c>
      <c r="B19" s="40">
        <v>46223</v>
      </c>
      <c r="C19" s="59">
        <v>1.66</v>
      </c>
      <c r="D19" s="57">
        <v>5.0999999999999996</v>
      </c>
      <c r="E19" s="57">
        <v>3.33</v>
      </c>
      <c r="F19" s="57">
        <v>7.16</v>
      </c>
      <c r="G19" s="54">
        <f ca="1">_xlfn.DAYS(B19,TODAY())/365</f>
        <v>2.9726027397260273</v>
      </c>
    </row>
    <row r="21" spans="1:7" x14ac:dyDescent="0.25">
      <c r="A21" s="60" t="s">
        <v>75</v>
      </c>
    </row>
    <row r="22" spans="1:7" x14ac:dyDescent="0.25">
      <c r="A22" s="16" t="s">
        <v>47</v>
      </c>
      <c r="B22" s="56" t="s">
        <v>46</v>
      </c>
      <c r="C22" s="56" t="s">
        <v>48</v>
      </c>
      <c r="D22" s="56" t="s">
        <v>43</v>
      </c>
      <c r="E22" s="56" t="s">
        <v>44</v>
      </c>
      <c r="F22" s="56" t="s">
        <v>49</v>
      </c>
      <c r="G22" s="56" t="s">
        <v>65</v>
      </c>
    </row>
    <row r="23" spans="1:7" x14ac:dyDescent="0.25">
      <c r="A23" t="s">
        <v>76</v>
      </c>
      <c r="B23" s="40">
        <v>45323</v>
      </c>
      <c r="C23" s="57">
        <v>0.75</v>
      </c>
      <c r="D23" s="57">
        <v>4.92</v>
      </c>
      <c r="E23" s="57">
        <v>3.42</v>
      </c>
      <c r="F23" s="54">
        <f>E23/(1-0.535)</f>
        <v>7.3548387096774199</v>
      </c>
      <c r="G23" s="54">
        <f ca="1">_xlfn.DAYS(B23,TODAY())/365</f>
        <v>0.50684931506849318</v>
      </c>
    </row>
    <row r="24" spans="1:7" x14ac:dyDescent="0.25">
      <c r="A24" t="s">
        <v>76</v>
      </c>
      <c r="B24" s="40">
        <v>45901</v>
      </c>
      <c r="C24" s="57">
        <v>0.5</v>
      </c>
      <c r="D24" s="54">
        <v>4.5</v>
      </c>
      <c r="E24" s="54">
        <v>3.2</v>
      </c>
      <c r="F24" s="57">
        <v>6.89</v>
      </c>
      <c r="G24" s="54">
        <f ca="1">_xlfn.DAYS(B24,TODAY())/365</f>
        <v>2.0904109589041098</v>
      </c>
    </row>
    <row r="25" spans="1:7" x14ac:dyDescent="0.25">
      <c r="A25" t="s">
        <v>76</v>
      </c>
      <c r="B25" s="40">
        <v>46082</v>
      </c>
      <c r="C25" s="57">
        <v>0.25</v>
      </c>
      <c r="D25" s="57">
        <v>4.2699999999999996</v>
      </c>
      <c r="E25" s="57">
        <v>3.11</v>
      </c>
      <c r="F25" s="54">
        <v>6.7</v>
      </c>
      <c r="G25" s="54">
        <f ca="1">_xlfn.DAYS(B25,TODAY())/365</f>
        <v>2.5863013698630137</v>
      </c>
    </row>
    <row r="26" spans="1:7" x14ac:dyDescent="0.25">
      <c r="A26" t="s">
        <v>76</v>
      </c>
      <c r="B26" s="40">
        <v>46266</v>
      </c>
      <c r="C26" s="57">
        <v>1</v>
      </c>
      <c r="D26" s="57">
        <v>4.05</v>
      </c>
      <c r="E26" s="57">
        <v>2.73</v>
      </c>
      <c r="F26" s="57">
        <v>5.87</v>
      </c>
      <c r="G26" s="54">
        <f ca="1">_xlfn.DAYS(B26,TODAY())/365</f>
        <v>3.0904109589041098</v>
      </c>
    </row>
    <row r="28" spans="1:7" x14ac:dyDescent="0.25">
      <c r="A28" s="60" t="s">
        <v>60</v>
      </c>
      <c r="B28" s="57"/>
      <c r="C28" s="57"/>
      <c r="D28" s="57"/>
      <c r="E28" s="57"/>
      <c r="F28" s="57"/>
      <c r="G28" s="57"/>
    </row>
    <row r="29" spans="1:7" x14ac:dyDescent="0.25">
      <c r="A29" s="16" t="s">
        <v>47</v>
      </c>
      <c r="B29" s="56" t="s">
        <v>46</v>
      </c>
      <c r="C29" s="56" t="s">
        <v>48</v>
      </c>
      <c r="D29" s="56" t="s">
        <v>43</v>
      </c>
      <c r="E29" s="56" t="s">
        <v>44</v>
      </c>
      <c r="F29" s="56" t="s">
        <v>49</v>
      </c>
      <c r="G29" s="56" t="s">
        <v>65</v>
      </c>
    </row>
    <row r="30" spans="1:7" x14ac:dyDescent="0.25">
      <c r="A30" s="17" t="s">
        <v>62</v>
      </c>
      <c r="B30" s="40">
        <v>47098</v>
      </c>
      <c r="C30" s="59">
        <v>4.4880000000000004</v>
      </c>
      <c r="D30" s="57">
        <v>4.92</v>
      </c>
      <c r="E30" s="57">
        <v>2.42</v>
      </c>
      <c r="F30" s="57">
        <v>5.21</v>
      </c>
      <c r="G30" s="54">
        <f ca="1">_xlfn.DAYS(B30,TODAY())/365</f>
        <v>5.3698630136986303</v>
      </c>
    </row>
    <row r="31" spans="1:7" x14ac:dyDescent="0.25">
      <c r="A31" s="17" t="s">
        <v>67</v>
      </c>
      <c r="B31" s="40">
        <v>47223</v>
      </c>
      <c r="C31" s="59">
        <v>3.75</v>
      </c>
      <c r="D31" s="57">
        <v>5.32</v>
      </c>
      <c r="E31" s="57">
        <v>2.89</v>
      </c>
      <c r="F31" s="57">
        <v>6.22</v>
      </c>
      <c r="G31" s="54">
        <f ca="1">_xlfn.DAYS(B31,TODAY())/365</f>
        <v>5.7123287671232879</v>
      </c>
    </row>
    <row r="32" spans="1:7" x14ac:dyDescent="0.25">
      <c r="A32" s="17" t="s">
        <v>63</v>
      </c>
      <c r="B32" s="40">
        <v>47371</v>
      </c>
      <c r="C32" s="59">
        <v>2.9</v>
      </c>
      <c r="D32" s="57">
        <v>5.03</v>
      </c>
      <c r="E32" s="57">
        <v>2.91</v>
      </c>
      <c r="F32" s="57">
        <v>6.27</v>
      </c>
      <c r="G32" s="54">
        <f ca="1">_xlfn.DAYS(B32,TODAY())/365</f>
        <v>6.117808219178082</v>
      </c>
    </row>
    <row r="33" spans="1:10" x14ac:dyDescent="0.25">
      <c r="A33" s="17" t="s">
        <v>61</v>
      </c>
      <c r="B33" s="40">
        <v>47533</v>
      </c>
      <c r="C33" s="59">
        <v>3.15</v>
      </c>
      <c r="D33" s="57">
        <v>5.17</v>
      </c>
      <c r="E33" s="57">
        <v>2.95</v>
      </c>
      <c r="F33" s="57">
        <v>6.34</v>
      </c>
      <c r="G33" s="54">
        <f ca="1">_xlfn.DAYS(B33,TODAY())/365</f>
        <v>6.5616438356164384</v>
      </c>
    </row>
    <row r="34" spans="1:10" x14ac:dyDescent="0.25">
      <c r="I34" s="125" t="s">
        <v>102</v>
      </c>
      <c r="J34" s="126"/>
    </row>
    <row r="35" spans="1:10" x14ac:dyDescent="0.25">
      <c r="A35" s="58" t="s">
        <v>64</v>
      </c>
      <c r="I35" s="8" t="s">
        <v>84</v>
      </c>
      <c r="J35" s="77">
        <f>O12+O10+O11</f>
        <v>0.5</v>
      </c>
    </row>
    <row r="36" spans="1:10" x14ac:dyDescent="0.25">
      <c r="A36" s="16" t="s">
        <v>47</v>
      </c>
      <c r="B36" s="56" t="s">
        <v>46</v>
      </c>
      <c r="C36" s="56" t="s">
        <v>43</v>
      </c>
      <c r="D36" s="56" t="s">
        <v>44</v>
      </c>
      <c r="I36" s="8" t="s">
        <v>85</v>
      </c>
      <c r="J36" s="77">
        <f>O13+O9</f>
        <v>0.4</v>
      </c>
    </row>
    <row r="37" spans="1:10" x14ac:dyDescent="0.25">
      <c r="A37" t="s">
        <v>68</v>
      </c>
      <c r="B37" s="57" t="s">
        <v>69</v>
      </c>
      <c r="C37" s="54">
        <v>5.4</v>
      </c>
      <c r="D37" s="54">
        <f>C37*(1-0.535)</f>
        <v>2.5110000000000001</v>
      </c>
      <c r="I37" s="8" t="s">
        <v>74</v>
      </c>
      <c r="J37" s="77">
        <f>O8</f>
        <v>0.1</v>
      </c>
    </row>
    <row r="38" spans="1:10" x14ac:dyDescent="0.25">
      <c r="A38" t="s">
        <v>68</v>
      </c>
      <c r="B38" s="57" t="s">
        <v>70</v>
      </c>
      <c r="C38" s="54">
        <f>5.5-0.2</f>
        <v>5.3</v>
      </c>
      <c r="D38" s="54">
        <f>C38*(1-0.535)</f>
        <v>2.4644999999999997</v>
      </c>
      <c r="I38" s="8"/>
      <c r="J38" s="78"/>
    </row>
    <row r="39" spans="1:10" x14ac:dyDescent="0.25">
      <c r="A39" t="s">
        <v>68</v>
      </c>
      <c r="B39" s="57" t="s">
        <v>71</v>
      </c>
      <c r="C39" s="57">
        <f>5.35-0.2</f>
        <v>5.1499999999999995</v>
      </c>
      <c r="D39" s="54">
        <f>C39*(1-0.535)</f>
        <v>2.3947499999999997</v>
      </c>
      <c r="I39" s="79">
        <v>2024</v>
      </c>
      <c r="J39" s="80">
        <f>300000</f>
        <v>300000</v>
      </c>
    </row>
    <row r="40" spans="1:10" x14ac:dyDescent="0.25">
      <c r="A40" t="s">
        <v>68</v>
      </c>
      <c r="B40" s="57" t="s">
        <v>72</v>
      </c>
      <c r="C40" s="54">
        <v>4.8</v>
      </c>
      <c r="D40" s="54">
        <f>C40*(1-0.535)</f>
        <v>2.2319999999999998</v>
      </c>
      <c r="I40" s="79">
        <v>2025</v>
      </c>
      <c r="J40" s="80">
        <v>300000</v>
      </c>
    </row>
    <row r="41" spans="1:10" x14ac:dyDescent="0.25">
      <c r="I41" s="81">
        <v>2026</v>
      </c>
      <c r="J41" s="82">
        <v>400000</v>
      </c>
    </row>
    <row r="53" spans="3:15" x14ac:dyDescent="0.25">
      <c r="C53" s="83"/>
      <c r="H53" s="49"/>
      <c r="I53" s="49"/>
      <c r="O53" s="49"/>
    </row>
    <row r="54" spans="3:15" x14ac:dyDescent="0.25">
      <c r="C54" s="83"/>
      <c r="H54" s="49"/>
      <c r="I54" s="49"/>
      <c r="J54" s="49"/>
      <c r="O54" s="49"/>
    </row>
    <row r="55" spans="3:15" x14ac:dyDescent="0.25">
      <c r="C55" s="83"/>
      <c r="H55" s="49"/>
      <c r="I55" s="49"/>
      <c r="J55" s="49"/>
      <c r="O55" s="49"/>
    </row>
    <row r="56" spans="3:15" x14ac:dyDescent="0.25">
      <c r="C56" s="49"/>
      <c r="H56" s="49"/>
      <c r="I56" s="49"/>
      <c r="O56" s="49"/>
    </row>
    <row r="57" spans="3:15" x14ac:dyDescent="0.25">
      <c r="C57" s="49"/>
      <c r="H57" s="49"/>
      <c r="I57" s="49"/>
      <c r="J57" s="49"/>
      <c r="O57" s="49"/>
    </row>
    <row r="58" spans="3:15" x14ac:dyDescent="0.25">
      <c r="H58" s="49"/>
    </row>
  </sheetData>
  <mergeCells count="1">
    <mergeCell ref="I34:J34"/>
  </mergeCells>
  <printOptions horizontalCentere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9ED8-B9AC-480E-9DC5-6440BD24AA85}">
  <dimension ref="B3:L43"/>
  <sheetViews>
    <sheetView workbookViewId="0">
      <selection activeCell="H9" sqref="H9"/>
    </sheetView>
  </sheetViews>
  <sheetFormatPr defaultRowHeight="15" x14ac:dyDescent="0.25"/>
  <cols>
    <col min="2" max="2" width="9.7109375" style="38" bestFit="1" customWidth="1"/>
    <col min="3" max="3" width="15.7109375" style="39" customWidth="1"/>
    <col min="4" max="4" width="11.28515625" style="38" customWidth="1"/>
    <col min="5" max="5" width="9" customWidth="1"/>
    <col min="6" max="6" width="22.28515625" bestFit="1" customWidth="1"/>
    <col min="7" max="7" width="10.140625" bestFit="1" customWidth="1"/>
    <col min="8" max="8" width="14" bestFit="1" customWidth="1"/>
    <col min="9" max="9" width="10.5703125" bestFit="1" customWidth="1"/>
    <col min="11" max="11" width="12.7109375" bestFit="1" customWidth="1"/>
    <col min="12" max="12" width="0" hidden="1" customWidth="1"/>
  </cols>
  <sheetData>
    <row r="3" spans="2:11" x14ac:dyDescent="0.25">
      <c r="B3" s="40"/>
    </row>
    <row r="4" spans="2:11" x14ac:dyDescent="0.25">
      <c r="B4" s="40"/>
    </row>
    <row r="5" spans="2:11" ht="30" x14ac:dyDescent="0.25">
      <c r="B5" s="45" t="s">
        <v>9</v>
      </c>
      <c r="C5" s="46" t="s">
        <v>35</v>
      </c>
      <c r="D5" s="47" t="s">
        <v>36</v>
      </c>
      <c r="G5" s="45" t="s">
        <v>9</v>
      </c>
      <c r="H5" s="46" t="s">
        <v>35</v>
      </c>
      <c r="I5" s="47" t="s">
        <v>36</v>
      </c>
    </row>
    <row r="6" spans="2:11" x14ac:dyDescent="0.25">
      <c r="B6" s="40">
        <v>45065</v>
      </c>
      <c r="C6" s="39">
        <v>20000000</v>
      </c>
      <c r="D6" s="41">
        <f t="shared" ref="D6:D24" si="0">C6*$D$37</f>
        <v>2684.9315068493152</v>
      </c>
      <c r="G6" s="28">
        <v>45062</v>
      </c>
      <c r="H6" s="49">
        <v>18889378.390000001</v>
      </c>
      <c r="I6" s="18">
        <f t="shared" ref="I6:I28" si="1">H6*$I$40</f>
        <v>2535.8343592054794</v>
      </c>
      <c r="K6" s="49"/>
    </row>
    <row r="7" spans="2:11" x14ac:dyDescent="0.25">
      <c r="B7" s="40">
        <f t="shared" ref="B7:B30" si="2">B6+1</f>
        <v>45066</v>
      </c>
      <c r="C7" s="39">
        <v>20000000</v>
      </c>
      <c r="D7" s="41">
        <f t="shared" si="0"/>
        <v>2684.9315068493152</v>
      </c>
      <c r="G7" s="28">
        <f t="shared" ref="G7:G8" si="3">G6+1</f>
        <v>45063</v>
      </c>
      <c r="H7" s="49">
        <v>19290273.359999999</v>
      </c>
      <c r="I7" s="18">
        <f t="shared" si="1"/>
        <v>2589.6531359999999</v>
      </c>
      <c r="K7" s="49"/>
    </row>
    <row r="8" spans="2:11" x14ac:dyDescent="0.25">
      <c r="B8" s="40">
        <f t="shared" si="2"/>
        <v>45067</v>
      </c>
      <c r="C8" s="39">
        <v>20000000</v>
      </c>
      <c r="D8" s="41">
        <f t="shared" si="0"/>
        <v>2684.9315068493152</v>
      </c>
      <c r="G8" s="28">
        <f t="shared" si="3"/>
        <v>45064</v>
      </c>
      <c r="H8" s="49">
        <v>19290545.350000001</v>
      </c>
      <c r="I8" s="18">
        <f t="shared" si="1"/>
        <v>2589.6896497260277</v>
      </c>
      <c r="K8" s="49"/>
    </row>
    <row r="9" spans="2:11" x14ac:dyDescent="0.25">
      <c r="B9" s="40">
        <f t="shared" si="2"/>
        <v>45068</v>
      </c>
      <c r="C9" s="39">
        <v>20000000</v>
      </c>
      <c r="D9" s="41">
        <f t="shared" si="0"/>
        <v>2684.9315068493152</v>
      </c>
      <c r="G9" s="40">
        <v>45065</v>
      </c>
      <c r="H9" s="49">
        <v>19291907.25</v>
      </c>
      <c r="I9" s="18">
        <f t="shared" si="1"/>
        <v>2589.8724801369863</v>
      </c>
      <c r="K9" s="49"/>
    </row>
    <row r="10" spans="2:11" x14ac:dyDescent="0.25">
      <c r="B10" s="40">
        <f t="shared" si="2"/>
        <v>45069</v>
      </c>
      <c r="C10" s="39">
        <v>20000000</v>
      </c>
      <c r="D10" s="41">
        <f t="shared" si="0"/>
        <v>2684.9315068493152</v>
      </c>
      <c r="G10" s="40">
        <f t="shared" ref="G10:G33" si="4">G9+1</f>
        <v>45066</v>
      </c>
      <c r="H10" s="49">
        <v>19291907.25</v>
      </c>
      <c r="I10" s="18">
        <f t="shared" si="1"/>
        <v>2589.8724801369863</v>
      </c>
      <c r="K10" s="49"/>
    </row>
    <row r="11" spans="2:11" x14ac:dyDescent="0.25">
      <c r="B11" s="40">
        <f t="shared" si="2"/>
        <v>45070</v>
      </c>
      <c r="C11" s="39">
        <v>20000000</v>
      </c>
      <c r="D11" s="41">
        <f t="shared" si="0"/>
        <v>2684.9315068493152</v>
      </c>
      <c r="G11" s="40">
        <f t="shared" si="4"/>
        <v>45067</v>
      </c>
      <c r="H11" s="49">
        <v>19291907.25</v>
      </c>
      <c r="I11" s="18">
        <f t="shared" si="1"/>
        <v>2589.8724801369863</v>
      </c>
      <c r="K11" s="49"/>
    </row>
    <row r="12" spans="2:11" x14ac:dyDescent="0.25">
      <c r="B12" s="40">
        <f t="shared" si="2"/>
        <v>45071</v>
      </c>
      <c r="C12" s="39">
        <v>20000000</v>
      </c>
      <c r="D12" s="41">
        <f t="shared" si="0"/>
        <v>2684.9315068493152</v>
      </c>
      <c r="G12" s="40">
        <f t="shared" si="4"/>
        <v>45068</v>
      </c>
      <c r="H12" s="49">
        <v>19291907.25</v>
      </c>
      <c r="I12" s="18">
        <f t="shared" si="1"/>
        <v>2589.8724801369863</v>
      </c>
      <c r="K12" s="49"/>
    </row>
    <row r="13" spans="2:11" x14ac:dyDescent="0.25">
      <c r="B13" s="40">
        <f t="shared" si="2"/>
        <v>45072</v>
      </c>
      <c r="C13" s="39">
        <v>22000000</v>
      </c>
      <c r="D13" s="41">
        <f t="shared" si="0"/>
        <v>2953.4246575342468</v>
      </c>
      <c r="G13" s="40">
        <f t="shared" si="4"/>
        <v>45069</v>
      </c>
      <c r="H13" s="49">
        <v>19291907.25</v>
      </c>
      <c r="I13" s="18">
        <f t="shared" si="1"/>
        <v>2589.8724801369863</v>
      </c>
      <c r="K13" s="49"/>
    </row>
    <row r="14" spans="2:11" x14ac:dyDescent="0.25">
      <c r="B14" s="40">
        <f t="shared" si="2"/>
        <v>45073</v>
      </c>
      <c r="C14" s="39">
        <v>22000000</v>
      </c>
      <c r="D14" s="41">
        <f t="shared" si="0"/>
        <v>2953.4246575342468</v>
      </c>
      <c r="G14" s="40">
        <f t="shared" si="4"/>
        <v>45070</v>
      </c>
      <c r="H14" s="49">
        <v>19295867.25</v>
      </c>
      <c r="I14" s="18">
        <f t="shared" si="1"/>
        <v>2590.4040965753425</v>
      </c>
      <c r="K14" s="49"/>
    </row>
    <row r="15" spans="2:11" x14ac:dyDescent="0.25">
      <c r="B15" s="40">
        <f t="shared" si="2"/>
        <v>45074</v>
      </c>
      <c r="C15" s="39">
        <v>22000000</v>
      </c>
      <c r="D15" s="41">
        <f t="shared" si="0"/>
        <v>2953.4246575342468</v>
      </c>
      <c r="G15" s="40">
        <f t="shared" si="4"/>
        <v>45071</v>
      </c>
      <c r="H15" s="49">
        <v>19295867.25</v>
      </c>
      <c r="I15" s="18">
        <f t="shared" si="1"/>
        <v>2590.4040965753425</v>
      </c>
      <c r="K15" s="49"/>
    </row>
    <row r="16" spans="2:11" x14ac:dyDescent="0.25">
      <c r="B16" s="40">
        <f t="shared" si="2"/>
        <v>45075</v>
      </c>
      <c r="C16" s="39">
        <v>22000000</v>
      </c>
      <c r="D16" s="41">
        <f t="shared" si="0"/>
        <v>2953.4246575342468</v>
      </c>
      <c r="G16" s="40">
        <f t="shared" si="4"/>
        <v>45072</v>
      </c>
      <c r="H16" s="49">
        <v>19300157.25</v>
      </c>
      <c r="I16" s="18">
        <f t="shared" si="1"/>
        <v>2590.9800143835619</v>
      </c>
      <c r="K16" s="49"/>
    </row>
    <row r="17" spans="2:12" x14ac:dyDescent="0.25">
      <c r="B17" s="40">
        <f t="shared" si="2"/>
        <v>45076</v>
      </c>
      <c r="C17" s="39">
        <v>22000000</v>
      </c>
      <c r="D17" s="41">
        <f t="shared" si="0"/>
        <v>2953.4246575342468</v>
      </c>
      <c r="G17" s="40">
        <f t="shared" si="4"/>
        <v>45073</v>
      </c>
      <c r="H17" s="49">
        <v>19300157.25</v>
      </c>
      <c r="I17" s="18">
        <f t="shared" si="1"/>
        <v>2590.9800143835619</v>
      </c>
      <c r="K17" s="49"/>
    </row>
    <row r="18" spans="2:12" x14ac:dyDescent="0.25">
      <c r="B18" s="40">
        <f t="shared" si="2"/>
        <v>45077</v>
      </c>
      <c r="C18" s="39">
        <v>22000000</v>
      </c>
      <c r="D18" s="41">
        <f>C18*$D$37</f>
        <v>2953.4246575342468</v>
      </c>
      <c r="G18" s="40">
        <f t="shared" si="4"/>
        <v>45074</v>
      </c>
      <c r="H18" s="49">
        <v>19300157.25</v>
      </c>
      <c r="I18" s="18">
        <f t="shared" si="1"/>
        <v>2590.9800143835619</v>
      </c>
      <c r="K18" s="49"/>
    </row>
    <row r="19" spans="2:12" x14ac:dyDescent="0.25">
      <c r="B19" s="40">
        <f t="shared" si="2"/>
        <v>45078</v>
      </c>
      <c r="C19" s="39">
        <v>22000000</v>
      </c>
      <c r="D19" s="41">
        <f t="shared" si="0"/>
        <v>2953.4246575342468</v>
      </c>
      <c r="G19" s="40">
        <f t="shared" si="4"/>
        <v>45075</v>
      </c>
      <c r="H19" s="49">
        <v>19300157.25</v>
      </c>
      <c r="I19" s="18">
        <f t="shared" si="1"/>
        <v>2590.9800143835619</v>
      </c>
      <c r="K19" s="49"/>
    </row>
    <row r="20" spans="2:12" x14ac:dyDescent="0.25">
      <c r="B20" s="40">
        <f t="shared" si="2"/>
        <v>45079</v>
      </c>
      <c r="C20" s="39">
        <v>22000000</v>
      </c>
      <c r="D20" s="41">
        <f t="shared" si="0"/>
        <v>2953.4246575342468</v>
      </c>
      <c r="G20" s="40">
        <f t="shared" si="4"/>
        <v>45076</v>
      </c>
      <c r="H20" s="49">
        <v>19300157.25</v>
      </c>
      <c r="I20" s="18">
        <f t="shared" si="1"/>
        <v>2590.9800143835619</v>
      </c>
      <c r="K20" s="49"/>
    </row>
    <row r="21" spans="2:12" x14ac:dyDescent="0.25">
      <c r="B21" s="40">
        <f t="shared" si="2"/>
        <v>45080</v>
      </c>
      <c r="C21" s="39">
        <v>22000000</v>
      </c>
      <c r="D21" s="41">
        <f t="shared" si="0"/>
        <v>2953.4246575342468</v>
      </c>
      <c r="G21" s="40">
        <f t="shared" si="4"/>
        <v>45077</v>
      </c>
      <c r="H21" s="49">
        <v>19292128.149999999</v>
      </c>
      <c r="I21" s="18">
        <f t="shared" si="1"/>
        <v>2589.9021352054792</v>
      </c>
      <c r="K21" s="49"/>
    </row>
    <row r="22" spans="2:12" x14ac:dyDescent="0.25">
      <c r="B22" s="40">
        <f t="shared" si="2"/>
        <v>45081</v>
      </c>
      <c r="C22" s="39">
        <v>22000000</v>
      </c>
      <c r="D22" s="41">
        <f t="shared" si="0"/>
        <v>2953.4246575342468</v>
      </c>
      <c r="G22" s="40">
        <f t="shared" si="4"/>
        <v>45078</v>
      </c>
      <c r="H22" s="49">
        <v>19303887.75</v>
      </c>
      <c r="I22" s="18">
        <f t="shared" si="1"/>
        <v>2591.4808212328767</v>
      </c>
      <c r="K22" s="49"/>
    </row>
    <row r="23" spans="2:12" x14ac:dyDescent="0.25">
      <c r="B23" s="40">
        <f t="shared" si="2"/>
        <v>45082</v>
      </c>
      <c r="C23" s="39">
        <v>28000000</v>
      </c>
      <c r="D23" s="41">
        <f t="shared" si="0"/>
        <v>3758.9041095890411</v>
      </c>
      <c r="G23" s="40">
        <f t="shared" si="4"/>
        <v>45079</v>
      </c>
      <c r="H23" s="49">
        <v>19303887.75</v>
      </c>
      <c r="I23" s="18">
        <f t="shared" si="1"/>
        <v>2591.4808212328767</v>
      </c>
      <c r="K23" s="49"/>
    </row>
    <row r="24" spans="2:12" x14ac:dyDescent="0.25">
      <c r="B24" s="40">
        <f t="shared" si="2"/>
        <v>45083</v>
      </c>
      <c r="C24" s="39">
        <v>28000000</v>
      </c>
      <c r="D24" s="41">
        <f t="shared" si="0"/>
        <v>3758.9041095890411</v>
      </c>
      <c r="G24" s="40">
        <f t="shared" si="4"/>
        <v>45080</v>
      </c>
      <c r="H24" s="49">
        <v>19303887.75</v>
      </c>
      <c r="I24" s="18">
        <f t="shared" si="1"/>
        <v>2591.4808212328767</v>
      </c>
      <c r="K24" s="49"/>
    </row>
    <row r="25" spans="2:12" x14ac:dyDescent="0.25">
      <c r="B25" s="40">
        <f t="shared" si="2"/>
        <v>45084</v>
      </c>
      <c r="C25" s="39">
        <v>28000000</v>
      </c>
      <c r="D25" s="41">
        <f>C25*$D$37</f>
        <v>3758.9041095890411</v>
      </c>
      <c r="G25" s="40">
        <f t="shared" si="4"/>
        <v>45081</v>
      </c>
      <c r="H25" s="49">
        <v>19303887.75</v>
      </c>
      <c r="I25" s="18">
        <f t="shared" si="1"/>
        <v>2591.4808212328767</v>
      </c>
      <c r="K25" s="49"/>
    </row>
    <row r="26" spans="2:12" x14ac:dyDescent="0.25">
      <c r="B26" s="40">
        <f t="shared" si="2"/>
        <v>45085</v>
      </c>
      <c r="C26" s="39">
        <v>28000000</v>
      </c>
      <c r="D26" s="41">
        <f>C26*$D$40</f>
        <v>3950.6849315068494</v>
      </c>
      <c r="G26" s="40">
        <f t="shared" si="4"/>
        <v>45082</v>
      </c>
      <c r="H26" s="49">
        <v>19303887.75</v>
      </c>
      <c r="I26" s="18">
        <f t="shared" si="1"/>
        <v>2591.4808212328767</v>
      </c>
      <c r="K26" s="49"/>
    </row>
    <row r="27" spans="2:12" x14ac:dyDescent="0.25">
      <c r="B27" s="40">
        <f t="shared" si="2"/>
        <v>45086</v>
      </c>
      <c r="C27" s="39">
        <v>28000000</v>
      </c>
      <c r="D27" s="41">
        <f t="shared" ref="D27:D33" si="5">C27*$D$40</f>
        <v>3950.6849315068494</v>
      </c>
      <c r="G27" s="40">
        <f t="shared" si="4"/>
        <v>45083</v>
      </c>
      <c r="H27" s="49">
        <v>19303887.75</v>
      </c>
      <c r="I27" s="18">
        <f t="shared" si="1"/>
        <v>2591.4808212328767</v>
      </c>
      <c r="K27" s="49"/>
    </row>
    <row r="28" spans="2:12" x14ac:dyDescent="0.25">
      <c r="B28" s="40">
        <f t="shared" si="2"/>
        <v>45087</v>
      </c>
      <c r="C28" s="39">
        <v>28000000</v>
      </c>
      <c r="D28" s="41">
        <f t="shared" si="5"/>
        <v>3950.6849315068494</v>
      </c>
      <c r="G28" s="40">
        <f t="shared" si="4"/>
        <v>45084</v>
      </c>
      <c r="H28" s="49">
        <v>19303887.75</v>
      </c>
      <c r="I28" s="18">
        <f t="shared" si="1"/>
        <v>2591.4808212328767</v>
      </c>
      <c r="K28" s="49"/>
    </row>
    <row r="29" spans="2:12" x14ac:dyDescent="0.25">
      <c r="B29" s="40">
        <f t="shared" si="2"/>
        <v>45088</v>
      </c>
      <c r="C29" s="39">
        <v>28000000</v>
      </c>
      <c r="D29" s="41">
        <f t="shared" si="5"/>
        <v>3950.6849315068494</v>
      </c>
      <c r="G29" s="40">
        <f t="shared" si="4"/>
        <v>45085</v>
      </c>
      <c r="H29" s="49">
        <f>13514268.57+$L$31</f>
        <v>19306478.829999998</v>
      </c>
      <c r="I29" s="18">
        <f t="shared" ref="I29:I36" si="6">H29*$I$43</f>
        <v>2724.0648212191777</v>
      </c>
      <c r="K29" s="49"/>
      <c r="L29">
        <v>2930585.34</v>
      </c>
    </row>
    <row r="30" spans="2:12" x14ac:dyDescent="0.25">
      <c r="B30" s="40">
        <f t="shared" si="2"/>
        <v>45089</v>
      </c>
      <c r="C30" s="39">
        <v>28000000</v>
      </c>
      <c r="D30" s="41">
        <f>C30*$D$40</f>
        <v>3950.6849315068494</v>
      </c>
      <c r="G30" s="40">
        <f t="shared" si="4"/>
        <v>45086</v>
      </c>
      <c r="H30" s="49">
        <f>13520160.41+$L$31</f>
        <v>19312370.670000002</v>
      </c>
      <c r="I30" s="18">
        <f t="shared" si="6"/>
        <v>2724.896135630137</v>
      </c>
      <c r="K30" s="49"/>
      <c r="L30">
        <v>2861624.92</v>
      </c>
    </row>
    <row r="31" spans="2:12" x14ac:dyDescent="0.25">
      <c r="B31" s="40">
        <f>B30+1</f>
        <v>45090</v>
      </c>
      <c r="C31" s="39">
        <v>28000000</v>
      </c>
      <c r="D31" s="41">
        <f>C31*$D$40</f>
        <v>3950.6849315068494</v>
      </c>
      <c r="G31" s="40">
        <f t="shared" si="4"/>
        <v>45087</v>
      </c>
      <c r="H31" s="49">
        <f>13520160.41+$L$31</f>
        <v>19312370.670000002</v>
      </c>
      <c r="I31" s="18">
        <f t="shared" si="6"/>
        <v>2724.896135630137</v>
      </c>
      <c r="K31" s="49"/>
      <c r="L31">
        <f>SUM(L29:L30)</f>
        <v>5792210.2599999998</v>
      </c>
    </row>
    <row r="32" spans="2:12" x14ac:dyDescent="0.25">
      <c r="B32" s="40">
        <f>B31+1</f>
        <v>45091</v>
      </c>
      <c r="C32" s="39">
        <v>28000000</v>
      </c>
      <c r="D32" s="41">
        <f t="shared" si="5"/>
        <v>3950.6849315068494</v>
      </c>
      <c r="G32" s="40">
        <f t="shared" si="4"/>
        <v>45088</v>
      </c>
      <c r="H32" s="49">
        <f>13520160.41+$L$31</f>
        <v>19312370.670000002</v>
      </c>
      <c r="I32" s="18">
        <f t="shared" si="6"/>
        <v>2724.896135630137</v>
      </c>
      <c r="K32" s="49"/>
    </row>
    <row r="33" spans="2:11" x14ac:dyDescent="0.25">
      <c r="B33" s="40">
        <f t="shared" ref="B33" si="7">B32+1</f>
        <v>45092</v>
      </c>
      <c r="C33" s="39">
        <v>28000000</v>
      </c>
      <c r="D33" s="41">
        <f t="shared" si="5"/>
        <v>3950.6849315068494</v>
      </c>
      <c r="G33" s="40">
        <f t="shared" si="4"/>
        <v>45089</v>
      </c>
      <c r="H33" s="49">
        <f>13529289.04</f>
        <v>13529289.039999999</v>
      </c>
      <c r="I33" s="18">
        <f t="shared" si="6"/>
        <v>1908.9270837260271</v>
      </c>
      <c r="K33" s="49"/>
    </row>
    <row r="34" spans="2:11" ht="15.75" thickBot="1" x14ac:dyDescent="0.3">
      <c r="B34" s="42"/>
      <c r="C34" s="43"/>
      <c r="D34" s="44">
        <f>SUM(D6:D33)</f>
        <v>91210.958904109633</v>
      </c>
      <c r="E34" s="52"/>
      <c r="F34" s="29"/>
      <c r="G34" s="40">
        <f>G33+1</f>
        <v>45090</v>
      </c>
      <c r="H34" s="49">
        <v>13529289.039999999</v>
      </c>
      <c r="I34" s="18">
        <f t="shared" si="6"/>
        <v>1908.9270837260271</v>
      </c>
      <c r="K34" s="49"/>
    </row>
    <row r="35" spans="2:11" ht="15.75" thickTop="1" x14ac:dyDescent="0.25">
      <c r="G35" s="40">
        <f>G34+1</f>
        <v>45091</v>
      </c>
      <c r="H35" s="49">
        <v>13529289.039999999</v>
      </c>
      <c r="I35" s="18">
        <f t="shared" si="6"/>
        <v>1908.9270837260271</v>
      </c>
      <c r="K35" s="49"/>
    </row>
    <row r="36" spans="2:11" x14ac:dyDescent="0.25">
      <c r="B36" t="s">
        <v>38</v>
      </c>
      <c r="D36" s="48">
        <f>0.067-0.018</f>
        <v>4.9000000000000002E-2</v>
      </c>
      <c r="G36" s="40">
        <f t="shared" ref="G36" si="8">G35+1</f>
        <v>45092</v>
      </c>
      <c r="H36" s="49">
        <f>9823990.03+1843713.7+1948395.34-85276</f>
        <v>13530823.069999998</v>
      </c>
      <c r="I36" s="18">
        <f t="shared" si="6"/>
        <v>1909.1435290547943</v>
      </c>
      <c r="K36" s="49"/>
    </row>
    <row r="37" spans="2:11" ht="15.75" thickBot="1" x14ac:dyDescent="0.3">
      <c r="B37" t="s">
        <v>37</v>
      </c>
      <c r="D37" s="48">
        <f>D36/365</f>
        <v>1.3424657534246576E-4</v>
      </c>
      <c r="G37" s="50"/>
      <c r="H37" s="51"/>
      <c r="I37" s="53">
        <f>SUM(I6:I36)</f>
        <v>78065.19370286302</v>
      </c>
      <c r="K37" s="9"/>
    </row>
    <row r="38" spans="2:11" ht="15.75" thickTop="1" x14ac:dyDescent="0.25">
      <c r="B38"/>
      <c r="D38"/>
    </row>
    <row r="39" spans="2:11" x14ac:dyDescent="0.25">
      <c r="B39" t="s">
        <v>39</v>
      </c>
      <c r="D39" s="48">
        <f>D36+0.0025</f>
        <v>5.1500000000000004E-2</v>
      </c>
      <c r="G39" t="s">
        <v>41</v>
      </c>
      <c r="H39" s="39"/>
      <c r="I39" s="48">
        <v>4.9000000000000002E-2</v>
      </c>
    </row>
    <row r="40" spans="2:11" x14ac:dyDescent="0.25">
      <c r="B40" t="s">
        <v>40</v>
      </c>
      <c r="D40" s="48">
        <f>D39/365</f>
        <v>1.410958904109589E-4</v>
      </c>
      <c r="G40" t="s">
        <v>42</v>
      </c>
      <c r="H40" s="39"/>
      <c r="I40" s="48">
        <f>I39/365</f>
        <v>1.3424657534246576E-4</v>
      </c>
    </row>
    <row r="41" spans="2:11" x14ac:dyDescent="0.25">
      <c r="H41" s="39"/>
    </row>
    <row r="42" spans="2:11" x14ac:dyDescent="0.25">
      <c r="G42" t="s">
        <v>39</v>
      </c>
      <c r="H42" s="39"/>
      <c r="I42" s="48">
        <f>I39+0.0025</f>
        <v>5.1500000000000004E-2</v>
      </c>
    </row>
    <row r="43" spans="2:11" x14ac:dyDescent="0.25">
      <c r="G43" t="s">
        <v>40</v>
      </c>
      <c r="H43" s="39"/>
      <c r="I43" s="48">
        <f>I42/365</f>
        <v>1.410958904109589E-4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8D5C-7205-4E84-BA55-7429FFE39DD2}">
  <dimension ref="A1:E65"/>
  <sheetViews>
    <sheetView showGridLines="0" workbookViewId="0">
      <selection activeCell="L8" sqref="L8"/>
    </sheetView>
  </sheetViews>
  <sheetFormatPr defaultRowHeight="15" x14ac:dyDescent="0.25"/>
  <cols>
    <col min="1" max="1" width="37.140625" bestFit="1" customWidth="1"/>
    <col min="2" max="2" width="13.42578125" customWidth="1"/>
    <col min="3" max="3" width="11.7109375" customWidth="1"/>
    <col min="4" max="4" width="20.5703125" customWidth="1"/>
    <col min="5" max="5" width="15.7109375" customWidth="1"/>
    <col min="7" max="7" width="10.28515625" customWidth="1"/>
  </cols>
  <sheetData>
    <row r="1" spans="1:5" ht="21" x14ac:dyDescent="0.35">
      <c r="A1" s="19" t="s">
        <v>17</v>
      </c>
    </row>
    <row r="2" spans="1:5" x14ac:dyDescent="0.25">
      <c r="A2" s="2" t="s">
        <v>18</v>
      </c>
    </row>
    <row r="3" spans="1:5" x14ac:dyDescent="0.25">
      <c r="D3" s="127" t="s">
        <v>28</v>
      </c>
      <c r="E3" s="127"/>
    </row>
    <row r="4" spans="1:5" x14ac:dyDescent="0.25">
      <c r="A4" s="119" t="s">
        <v>19</v>
      </c>
      <c r="B4" s="119"/>
      <c r="D4" s="16" t="s">
        <v>9</v>
      </c>
      <c r="E4" s="6" t="s">
        <v>10</v>
      </c>
    </row>
    <row r="5" spans="1:5" x14ac:dyDescent="0.25">
      <c r="A5" s="20" t="s">
        <v>29</v>
      </c>
      <c r="B5" s="22">
        <v>45138</v>
      </c>
      <c r="D5" s="26">
        <f>B5</f>
        <v>45138</v>
      </c>
      <c r="E5" s="109">
        <f>-B25/B13*100</f>
        <v>-95.333561647197897</v>
      </c>
    </row>
    <row r="6" spans="1:5" x14ac:dyDescent="0.25">
      <c r="A6" s="20" t="s">
        <v>8</v>
      </c>
      <c r="B6" s="22">
        <v>45502</v>
      </c>
      <c r="D6" s="26">
        <f>B6</f>
        <v>45502</v>
      </c>
      <c r="E6" s="10">
        <f>100+B8/B7</f>
        <v>100.325</v>
      </c>
    </row>
    <row r="7" spans="1:5" x14ac:dyDescent="0.25">
      <c r="A7" s="20" t="s">
        <v>7</v>
      </c>
      <c r="B7" s="21">
        <v>2</v>
      </c>
      <c r="D7" s="26">
        <f t="shared" ref="D7:D38" si="0">IF(ISERROR(IF(EDATE(D6,-12/$B$7)&gt;=$D$5,EDATE(D6,-12/$B$7),"")),"",IF(EDATE(D6,-12/$B$7)&gt;=$D$5,EDATE(D6,-12/$B$7),""))</f>
        <v>45320</v>
      </c>
      <c r="E7" s="10">
        <f t="shared" ref="E7:E38" si="1">IF(D7="","",$B$8/$B$7)</f>
        <v>0.32500000000000001</v>
      </c>
    </row>
    <row r="8" spans="1:5" x14ac:dyDescent="0.25">
      <c r="A8" s="20" t="s">
        <v>5</v>
      </c>
      <c r="B8" s="21">
        <v>0.65</v>
      </c>
      <c r="D8" s="26" t="str">
        <f t="shared" si="0"/>
        <v/>
      </c>
      <c r="E8" s="10" t="str">
        <f t="shared" si="1"/>
        <v/>
      </c>
    </row>
    <row r="9" spans="1:5" x14ac:dyDescent="0.25">
      <c r="A9" s="20" t="s">
        <v>4</v>
      </c>
      <c r="B9" s="21">
        <v>95.33</v>
      </c>
      <c r="C9" s="24"/>
      <c r="D9" s="26" t="str">
        <f t="shared" si="0"/>
        <v/>
      </c>
      <c r="E9" s="10" t="str">
        <f t="shared" si="1"/>
        <v/>
      </c>
    </row>
    <row r="10" spans="1:5" x14ac:dyDescent="0.25">
      <c r="D10" s="26" t="str">
        <f t="shared" si="0"/>
        <v/>
      </c>
      <c r="E10" s="10" t="str">
        <f t="shared" si="1"/>
        <v/>
      </c>
    </row>
    <row r="11" spans="1:5" x14ac:dyDescent="0.25">
      <c r="A11" s="128" t="s">
        <v>20</v>
      </c>
      <c r="B11" s="129"/>
      <c r="D11" s="26" t="str">
        <f t="shared" si="0"/>
        <v/>
      </c>
      <c r="E11" s="10" t="str">
        <f t="shared" si="1"/>
        <v/>
      </c>
    </row>
    <row r="12" spans="1:5" x14ac:dyDescent="0.25">
      <c r="A12" s="20" t="s">
        <v>21</v>
      </c>
      <c r="B12" s="21">
        <v>0</v>
      </c>
      <c r="D12" s="26" t="str">
        <f t="shared" si="0"/>
        <v/>
      </c>
      <c r="E12" s="10" t="str">
        <f t="shared" si="1"/>
        <v/>
      </c>
    </row>
    <row r="13" spans="1:5" x14ac:dyDescent="0.25">
      <c r="A13" s="20" t="s">
        <v>24</v>
      </c>
      <c r="B13" s="104">
        <v>1000000</v>
      </c>
      <c r="D13" s="26" t="str">
        <f t="shared" si="0"/>
        <v/>
      </c>
      <c r="E13" s="10" t="str">
        <f t="shared" si="1"/>
        <v/>
      </c>
    </row>
    <row r="14" spans="1:5" x14ac:dyDescent="0.25">
      <c r="A14" s="20" t="s">
        <v>22</v>
      </c>
      <c r="B14" s="110">
        <f>YIELD(B5,B6,B8/100,B9,100,B7,1)</f>
        <v>5.5407638899546481E-2</v>
      </c>
      <c r="D14" s="26" t="str">
        <f t="shared" si="0"/>
        <v/>
      </c>
      <c r="E14" s="10" t="str">
        <f t="shared" si="1"/>
        <v/>
      </c>
    </row>
    <row r="15" spans="1:5" x14ac:dyDescent="0.25">
      <c r="A15" s="20" t="s">
        <v>23</v>
      </c>
      <c r="B15" s="111">
        <f>B14-(B12/10000)</f>
        <v>5.5407638899546481E-2</v>
      </c>
      <c r="D15" s="26" t="str">
        <f t="shared" si="0"/>
        <v/>
      </c>
      <c r="E15" s="10" t="str">
        <f t="shared" si="1"/>
        <v/>
      </c>
    </row>
    <row r="16" spans="1:5" x14ac:dyDescent="0.25">
      <c r="A16" s="20" t="s">
        <v>25</v>
      </c>
      <c r="B16" s="23">
        <f>EDATE(MIN(D6:D65),-6)</f>
        <v>45136</v>
      </c>
      <c r="D16" s="26" t="str">
        <f t="shared" si="0"/>
        <v/>
      </c>
      <c r="E16" s="10" t="str">
        <f t="shared" si="1"/>
        <v/>
      </c>
    </row>
    <row r="17" spans="1:5" x14ac:dyDescent="0.25">
      <c r="A17" s="20" t="s">
        <v>26</v>
      </c>
      <c r="B17" s="23">
        <f>EDATE(B16,6)</f>
        <v>45320</v>
      </c>
      <c r="D17" s="26" t="str">
        <f t="shared" si="0"/>
        <v/>
      </c>
      <c r="E17" s="10" t="str">
        <f t="shared" si="1"/>
        <v/>
      </c>
    </row>
    <row r="18" spans="1:5" x14ac:dyDescent="0.25">
      <c r="A18" s="20" t="s">
        <v>27</v>
      </c>
      <c r="B18" s="103">
        <f>PRICE(B5,B6,B8/100,B15,100,B7,1)</f>
        <v>95.330000003362287</v>
      </c>
      <c r="C18" s="25"/>
      <c r="D18" s="26" t="str">
        <f t="shared" si="0"/>
        <v/>
      </c>
      <c r="E18" s="10" t="str">
        <f t="shared" si="1"/>
        <v/>
      </c>
    </row>
    <row r="19" spans="1:5" x14ac:dyDescent="0.25">
      <c r="D19" s="26" t="str">
        <f t="shared" si="0"/>
        <v/>
      </c>
      <c r="E19" s="10" t="str">
        <f t="shared" si="1"/>
        <v/>
      </c>
    </row>
    <row r="20" spans="1:5" x14ac:dyDescent="0.25">
      <c r="A20" s="119" t="s">
        <v>112</v>
      </c>
      <c r="B20" s="119"/>
      <c r="D20" s="26" t="str">
        <f t="shared" si="0"/>
        <v/>
      </c>
      <c r="E20" s="10" t="str">
        <f t="shared" si="1"/>
        <v/>
      </c>
    </row>
    <row r="21" spans="1:5" x14ac:dyDescent="0.25">
      <c r="D21" s="26" t="str">
        <f t="shared" si="0"/>
        <v/>
      </c>
      <c r="E21" s="10" t="str">
        <f t="shared" si="1"/>
        <v/>
      </c>
    </row>
    <row r="22" spans="1:5" x14ac:dyDescent="0.25">
      <c r="A22" t="s">
        <v>113</v>
      </c>
      <c r="B22" s="49">
        <f>B9*B13/100</f>
        <v>953300</v>
      </c>
      <c r="C22" s="27"/>
      <c r="D22" s="26" t="str">
        <f t="shared" si="0"/>
        <v/>
      </c>
      <c r="E22" s="10" t="str">
        <f t="shared" si="1"/>
        <v/>
      </c>
    </row>
    <row r="23" spans="1:5" x14ac:dyDescent="0.25">
      <c r="A23" t="s">
        <v>114</v>
      </c>
      <c r="B23" s="49">
        <f>ACCRINT(B16,B17,B5,B8/100,100,2,3)*B13/100</f>
        <v>35.616438356164387</v>
      </c>
      <c r="C23" s="27"/>
      <c r="D23" s="26" t="str">
        <f t="shared" si="0"/>
        <v/>
      </c>
      <c r="E23" s="10" t="str">
        <f t="shared" si="1"/>
        <v/>
      </c>
    </row>
    <row r="24" spans="1:5" x14ac:dyDescent="0.25">
      <c r="A24" s="108" t="s">
        <v>115</v>
      </c>
      <c r="B24" s="107">
        <f>((B18-B9)/100)*B13</f>
        <v>3.3622882256167941E-5</v>
      </c>
      <c r="D24" s="26" t="str">
        <f t="shared" si="0"/>
        <v/>
      </c>
      <c r="E24" s="10" t="str">
        <f t="shared" si="1"/>
        <v/>
      </c>
    </row>
    <row r="25" spans="1:5" ht="15.75" thickBot="1" x14ac:dyDescent="0.3">
      <c r="A25" s="50" t="s">
        <v>116</v>
      </c>
      <c r="B25" s="106">
        <f>SUM(B22:B24)</f>
        <v>953335.61647197895</v>
      </c>
      <c r="D25" s="26" t="str">
        <f t="shared" si="0"/>
        <v/>
      </c>
      <c r="E25" s="10" t="str">
        <f t="shared" si="1"/>
        <v/>
      </c>
    </row>
    <row r="26" spans="1:5" ht="15.75" thickTop="1" x14ac:dyDescent="0.25">
      <c r="A26" s="58"/>
      <c r="B26" s="105"/>
      <c r="D26" s="26" t="str">
        <f t="shared" si="0"/>
        <v/>
      </c>
      <c r="E26" s="10" t="str">
        <f t="shared" si="1"/>
        <v/>
      </c>
    </row>
    <row r="27" spans="1:5" x14ac:dyDescent="0.25">
      <c r="A27" s="58"/>
      <c r="B27" s="105"/>
      <c r="D27" s="26" t="str">
        <f t="shared" si="0"/>
        <v/>
      </c>
      <c r="E27" s="10" t="str">
        <f t="shared" si="1"/>
        <v/>
      </c>
    </row>
    <row r="28" spans="1:5" x14ac:dyDescent="0.25">
      <c r="A28" s="58"/>
      <c r="B28" s="105"/>
      <c r="D28" s="26" t="str">
        <f t="shared" si="0"/>
        <v/>
      </c>
      <c r="E28" s="10" t="str">
        <f t="shared" si="1"/>
        <v/>
      </c>
    </row>
    <row r="29" spans="1:5" x14ac:dyDescent="0.25">
      <c r="D29" s="26" t="str">
        <f t="shared" si="0"/>
        <v/>
      </c>
      <c r="E29" s="10" t="str">
        <f t="shared" si="1"/>
        <v/>
      </c>
    </row>
    <row r="30" spans="1:5" x14ac:dyDescent="0.25">
      <c r="D30" s="26" t="str">
        <f t="shared" si="0"/>
        <v/>
      </c>
      <c r="E30" s="10" t="str">
        <f t="shared" si="1"/>
        <v/>
      </c>
    </row>
    <row r="31" spans="1:5" x14ac:dyDescent="0.25">
      <c r="D31" s="26" t="str">
        <f t="shared" si="0"/>
        <v/>
      </c>
      <c r="E31" s="10" t="str">
        <f t="shared" si="1"/>
        <v/>
      </c>
    </row>
    <row r="32" spans="1:5" x14ac:dyDescent="0.25">
      <c r="D32" s="26" t="str">
        <f t="shared" si="0"/>
        <v/>
      </c>
      <c r="E32" s="10" t="str">
        <f t="shared" si="1"/>
        <v/>
      </c>
    </row>
    <row r="33" spans="4:5" x14ac:dyDescent="0.25">
      <c r="D33" s="26" t="str">
        <f t="shared" si="0"/>
        <v/>
      </c>
      <c r="E33" s="10" t="str">
        <f t="shared" si="1"/>
        <v/>
      </c>
    </row>
    <row r="34" spans="4:5" x14ac:dyDescent="0.25">
      <c r="D34" s="26" t="str">
        <f t="shared" si="0"/>
        <v/>
      </c>
      <c r="E34" s="10" t="str">
        <f t="shared" si="1"/>
        <v/>
      </c>
    </row>
    <row r="35" spans="4:5" x14ac:dyDescent="0.25">
      <c r="D35" s="26" t="str">
        <f t="shared" si="0"/>
        <v/>
      </c>
      <c r="E35" s="10" t="str">
        <f t="shared" si="1"/>
        <v/>
      </c>
    </row>
    <row r="36" spans="4:5" x14ac:dyDescent="0.25">
      <c r="D36" s="26" t="str">
        <f t="shared" si="0"/>
        <v/>
      </c>
      <c r="E36" s="10" t="str">
        <f t="shared" si="1"/>
        <v/>
      </c>
    </row>
    <row r="37" spans="4:5" x14ac:dyDescent="0.25">
      <c r="D37" s="26" t="str">
        <f t="shared" si="0"/>
        <v/>
      </c>
      <c r="E37" s="10" t="str">
        <f t="shared" si="1"/>
        <v/>
      </c>
    </row>
    <row r="38" spans="4:5" x14ac:dyDescent="0.25">
      <c r="D38" s="26" t="str">
        <f t="shared" si="0"/>
        <v/>
      </c>
      <c r="E38" s="10" t="str">
        <f t="shared" si="1"/>
        <v/>
      </c>
    </row>
    <row r="39" spans="4:5" x14ac:dyDescent="0.25">
      <c r="D39" s="26" t="str">
        <f t="shared" ref="D39:D58" si="2">IF(ISERROR(IF(EDATE(D38,-12/$B$7)&gt;=$D$5,EDATE(D38,-12/$B$7),"")),"",IF(EDATE(D38,-12/$B$7)&gt;=$D$5,EDATE(D38,-12/$B$7),""))</f>
        <v/>
      </c>
      <c r="E39" s="10" t="str">
        <f t="shared" ref="E39:E58" si="3">IF(D39="","",$B$8/$B$7)</f>
        <v/>
      </c>
    </row>
    <row r="40" spans="4:5" x14ac:dyDescent="0.25">
      <c r="D40" s="26" t="str">
        <f t="shared" si="2"/>
        <v/>
      </c>
      <c r="E40" s="10" t="str">
        <f t="shared" si="3"/>
        <v/>
      </c>
    </row>
    <row r="41" spans="4:5" x14ac:dyDescent="0.25">
      <c r="D41" s="26" t="str">
        <f t="shared" si="2"/>
        <v/>
      </c>
      <c r="E41" s="10" t="str">
        <f t="shared" si="3"/>
        <v/>
      </c>
    </row>
    <row r="42" spans="4:5" x14ac:dyDescent="0.25">
      <c r="D42" s="26" t="str">
        <f t="shared" si="2"/>
        <v/>
      </c>
      <c r="E42" s="10" t="str">
        <f t="shared" si="3"/>
        <v/>
      </c>
    </row>
    <row r="43" spans="4:5" x14ac:dyDescent="0.25">
      <c r="D43" s="26" t="str">
        <f t="shared" si="2"/>
        <v/>
      </c>
      <c r="E43" s="10" t="str">
        <f t="shared" si="3"/>
        <v/>
      </c>
    </row>
    <row r="44" spans="4:5" x14ac:dyDescent="0.25">
      <c r="D44" s="26" t="str">
        <f t="shared" si="2"/>
        <v/>
      </c>
      <c r="E44" s="10" t="str">
        <f t="shared" si="3"/>
        <v/>
      </c>
    </row>
    <row r="45" spans="4:5" x14ac:dyDescent="0.25">
      <c r="D45" s="26" t="str">
        <f t="shared" si="2"/>
        <v/>
      </c>
      <c r="E45" s="10" t="str">
        <f t="shared" si="3"/>
        <v/>
      </c>
    </row>
    <row r="46" spans="4:5" x14ac:dyDescent="0.25">
      <c r="D46" s="26" t="str">
        <f t="shared" si="2"/>
        <v/>
      </c>
      <c r="E46" s="10" t="str">
        <f t="shared" si="3"/>
        <v/>
      </c>
    </row>
    <row r="47" spans="4:5" x14ac:dyDescent="0.25">
      <c r="D47" s="26" t="str">
        <f t="shared" si="2"/>
        <v/>
      </c>
      <c r="E47" s="10" t="str">
        <f t="shared" si="3"/>
        <v/>
      </c>
    </row>
    <row r="48" spans="4:5" x14ac:dyDescent="0.25">
      <c r="D48" s="26" t="str">
        <f t="shared" si="2"/>
        <v/>
      </c>
      <c r="E48" s="10" t="str">
        <f t="shared" si="3"/>
        <v/>
      </c>
    </row>
    <row r="49" spans="4:5" x14ac:dyDescent="0.25">
      <c r="D49" s="26" t="str">
        <f t="shared" si="2"/>
        <v/>
      </c>
      <c r="E49" s="10" t="str">
        <f t="shared" si="3"/>
        <v/>
      </c>
    </row>
    <row r="50" spans="4:5" x14ac:dyDescent="0.25">
      <c r="D50" s="26" t="str">
        <f t="shared" si="2"/>
        <v/>
      </c>
      <c r="E50" s="10" t="str">
        <f t="shared" si="3"/>
        <v/>
      </c>
    </row>
    <row r="51" spans="4:5" x14ac:dyDescent="0.25">
      <c r="D51" s="26" t="str">
        <f t="shared" si="2"/>
        <v/>
      </c>
      <c r="E51" s="10" t="str">
        <f t="shared" si="3"/>
        <v/>
      </c>
    </row>
    <row r="52" spans="4:5" x14ac:dyDescent="0.25">
      <c r="D52" s="26" t="str">
        <f t="shared" si="2"/>
        <v/>
      </c>
      <c r="E52" s="10" t="str">
        <f t="shared" si="3"/>
        <v/>
      </c>
    </row>
    <row r="53" spans="4:5" x14ac:dyDescent="0.25">
      <c r="D53" s="26" t="str">
        <f t="shared" si="2"/>
        <v/>
      </c>
      <c r="E53" s="10" t="str">
        <f t="shared" si="3"/>
        <v/>
      </c>
    </row>
    <row r="54" spans="4:5" x14ac:dyDescent="0.25">
      <c r="D54" s="26" t="str">
        <f t="shared" si="2"/>
        <v/>
      </c>
      <c r="E54" s="10" t="str">
        <f t="shared" si="3"/>
        <v/>
      </c>
    </row>
    <row r="55" spans="4:5" x14ac:dyDescent="0.25">
      <c r="D55" s="26" t="str">
        <f t="shared" si="2"/>
        <v/>
      </c>
      <c r="E55" s="10" t="str">
        <f t="shared" si="3"/>
        <v/>
      </c>
    </row>
    <row r="56" spans="4:5" x14ac:dyDescent="0.25">
      <c r="D56" s="26" t="str">
        <f t="shared" si="2"/>
        <v/>
      </c>
      <c r="E56" s="10" t="str">
        <f t="shared" si="3"/>
        <v/>
      </c>
    </row>
    <row r="57" spans="4:5" x14ac:dyDescent="0.25">
      <c r="D57" s="26" t="str">
        <f t="shared" si="2"/>
        <v/>
      </c>
      <c r="E57" s="10" t="str">
        <f t="shared" si="3"/>
        <v/>
      </c>
    </row>
    <row r="58" spans="4:5" x14ac:dyDescent="0.25">
      <c r="D58" s="26" t="str">
        <f t="shared" si="2"/>
        <v/>
      </c>
      <c r="E58" s="10" t="str">
        <f t="shared" si="3"/>
        <v/>
      </c>
    </row>
    <row r="59" spans="4:5" x14ac:dyDescent="0.25">
      <c r="D59" s="26" t="str">
        <f>IF(ISERROR(IF(EDATE(D58,-12/#REF!)&gt;=#REF!,EDATE(D58,-12/#REF!),"")),"",IF(EDATE(D58,-12/#REF!)&gt;=#REF!,EDATE(D58,-12/#REF!),""))</f>
        <v/>
      </c>
      <c r="E59" s="10" t="str">
        <f>IF(D59="","",#REF!/#REF!)</f>
        <v/>
      </c>
    </row>
    <row r="60" spans="4:5" x14ac:dyDescent="0.25">
      <c r="D60" s="26" t="str">
        <f>IF(ISERROR(IF(EDATE(D59,-12/#REF!)&gt;=#REF!,EDATE(D59,-12/#REF!),"")),"",IF(EDATE(D59,-12/#REF!)&gt;=#REF!,EDATE(D59,-12/#REF!),""))</f>
        <v/>
      </c>
      <c r="E60" s="10" t="str">
        <f>IF(D60="","",#REF!/#REF!)</f>
        <v/>
      </c>
    </row>
    <row r="61" spans="4:5" x14ac:dyDescent="0.25">
      <c r="D61" s="26" t="str">
        <f>IF(ISERROR(IF(EDATE(D60,-12/#REF!)&gt;=#REF!,EDATE(D60,-12/#REF!),"")),"",IF(EDATE(D60,-12/#REF!)&gt;=#REF!,EDATE(D60,-12/#REF!),""))</f>
        <v/>
      </c>
      <c r="E61" s="10" t="str">
        <f>IF(D61="","",#REF!/#REF!)</f>
        <v/>
      </c>
    </row>
    <row r="62" spans="4:5" x14ac:dyDescent="0.25">
      <c r="D62" s="26" t="str">
        <f>IF(ISERROR(IF(EDATE(D61,-12/#REF!)&gt;=#REF!,EDATE(D61,-12/#REF!),"")),"",IF(EDATE(D61,-12/#REF!)&gt;=#REF!,EDATE(D61,-12/#REF!),""))</f>
        <v/>
      </c>
      <c r="E62" s="10" t="str">
        <f>IF(D62="","",#REF!/#REF!)</f>
        <v/>
      </c>
    </row>
    <row r="63" spans="4:5" x14ac:dyDescent="0.25">
      <c r="D63" s="26" t="str">
        <f>IF(ISERROR(IF(EDATE(D62,-12/#REF!)&gt;=#REF!,EDATE(D62,-12/#REF!),"")),"",IF(EDATE(D62,-12/#REF!)&gt;=#REF!,EDATE(D62,-12/#REF!),""))</f>
        <v/>
      </c>
      <c r="E63" s="10" t="str">
        <f>IF(D63="","",#REF!/#REF!)</f>
        <v/>
      </c>
    </row>
    <row r="64" spans="4:5" x14ac:dyDescent="0.25">
      <c r="D64" s="26" t="str">
        <f>IF(ISERROR(IF(EDATE(D63,-12/#REF!)&gt;=#REF!,EDATE(D63,-12/#REF!),"")),"",IF(EDATE(D63,-12/#REF!)&gt;=#REF!,EDATE(D63,-12/#REF!),""))</f>
        <v/>
      </c>
      <c r="E64" s="10" t="str">
        <f>IF(D64="","",#REF!/#REF!)</f>
        <v/>
      </c>
    </row>
    <row r="65" spans="4:5" x14ac:dyDescent="0.25">
      <c r="D65" s="26" t="str">
        <f>IF(ISERROR(IF(EDATE(D64,-12/#REF!)&gt;=#REF!,EDATE(D64,-12/#REF!),"")),"",IF(EDATE(D64,-12/#REF!)&gt;=#REF!,EDATE(D64,-12/#REF!),""))</f>
        <v/>
      </c>
      <c r="E65" s="10" t="str">
        <f>IF(D65="","",#REF!/#REF!)</f>
        <v/>
      </c>
    </row>
  </sheetData>
  <mergeCells count="4">
    <mergeCell ref="D3:E3"/>
    <mergeCell ref="A4:B4"/>
    <mergeCell ref="A11:B11"/>
    <mergeCell ref="A20:B2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53EA-BCA2-40C5-BA0D-6E84CC6C8803}">
  <dimension ref="A2:H54"/>
  <sheetViews>
    <sheetView workbookViewId="0">
      <selection activeCell="B4" sqref="B4"/>
    </sheetView>
  </sheetViews>
  <sheetFormatPr defaultRowHeight="15" x14ac:dyDescent="0.25"/>
  <cols>
    <col min="1" max="1" width="12.140625" style="28" customWidth="1"/>
    <col min="2" max="2" width="11.5703125" customWidth="1"/>
    <col min="4" max="4" width="10.140625" customWidth="1"/>
    <col min="5" max="5" width="9.7109375" bestFit="1" customWidth="1"/>
    <col min="6" max="6" width="15" bestFit="1" customWidth="1"/>
    <col min="7" max="7" width="10.5703125" bestFit="1" customWidth="1"/>
  </cols>
  <sheetData>
    <row r="2" spans="1:8" x14ac:dyDescent="0.25">
      <c r="A2" s="28">
        <f>IF('Tax Equivalent Yield'!J9="",0,'Tax Equivalent Yield'!J9)</f>
        <v>45139</v>
      </c>
      <c r="B2">
        <f>IF('Tax Equivalent Yield'!K9="",0,'Tax Equivalent Yield'!K9)</f>
        <v>-94.968356164383565</v>
      </c>
    </row>
    <row r="3" spans="1:8" ht="33.75" x14ac:dyDescent="0.5">
      <c r="A3" s="28">
        <f>IF('Tax Equivalent Yield'!J10="",0,'Tax Equivalent Yield'!J10)</f>
        <v>45572</v>
      </c>
      <c r="B3">
        <f>IF('Tax Equivalent Yield'!K10="",0,'Tax Equivalent Yield'!K10)</f>
        <v>98.764650000000003</v>
      </c>
      <c r="E3" s="33" t="s">
        <v>31</v>
      </c>
    </row>
    <row r="4" spans="1:8" x14ac:dyDescent="0.25">
      <c r="A4" s="28">
        <f>IF('Tax Equivalent Yield'!J11="",0,'Tax Equivalent Yield'!J11)</f>
        <v>45389</v>
      </c>
      <c r="B4">
        <f>IF('Tax Equivalent Yield'!K11="",0,'Tax Equivalent Yield'!K11)</f>
        <v>0.174375</v>
      </c>
      <c r="D4">
        <f>'Tax Equivalent Yield'!D11</f>
        <v>0.75</v>
      </c>
      <c r="E4" t="str">
        <f>TEXT(D4,"0.00")</f>
        <v>0.75</v>
      </c>
    </row>
    <row r="5" spans="1:8" x14ac:dyDescent="0.25">
      <c r="A5" s="28">
        <f>IF('Tax Equivalent Yield'!J12="",0,'Tax Equivalent Yield'!J12)</f>
        <v>45206</v>
      </c>
      <c r="B5">
        <f>IF('Tax Equivalent Yield'!K12="",0,'Tax Equivalent Yield'!K12)</f>
        <v>0.30189554794520546</v>
      </c>
      <c r="D5" s="28">
        <f>'Tax Equivalent Yield'!D9</f>
        <v>45572</v>
      </c>
      <c r="E5" t="str">
        <f>TEXT(D5,"mm/dd/yyyy")</f>
        <v>10/07/2024</v>
      </c>
    </row>
    <row r="6" spans="1:8" x14ac:dyDescent="0.25">
      <c r="A6" s="28">
        <f>IF('Tax Equivalent Yield'!J13="",0,'Tax Equivalent Yield'!J13)</f>
        <v>0</v>
      </c>
      <c r="B6">
        <f>IF('Tax Equivalent Yield'!K13="",0,'Tax Equivalent Yield'!K13)</f>
        <v>0</v>
      </c>
      <c r="D6" s="27" t="str">
        <f>'Tax Equivalent Yield'!Q31</f>
        <v>BNS</v>
      </c>
      <c r="E6" t="str">
        <f>TEXT(D6,"0")</f>
        <v>BNS</v>
      </c>
    </row>
    <row r="7" spans="1:8" x14ac:dyDescent="0.25">
      <c r="A7" s="28">
        <f>IF('Tax Equivalent Yield'!J14="",0,'Tax Equivalent Yield'!J14)</f>
        <v>0</v>
      </c>
      <c r="B7">
        <f>IF('Tax Equivalent Yield'!K14="",0,'Tax Equivalent Yield'!K14)</f>
        <v>0</v>
      </c>
    </row>
    <row r="8" spans="1:8" x14ac:dyDescent="0.25">
      <c r="A8" s="28">
        <f>IF('Tax Equivalent Yield'!J15="",0,'Tax Equivalent Yield'!J15)</f>
        <v>0</v>
      </c>
      <c r="B8">
        <f>IF('Tax Equivalent Yield'!K15="",0,'Tax Equivalent Yield'!K15)</f>
        <v>0</v>
      </c>
      <c r="H8">
        <f>61-COUNTIF('Tax Equivalent Yield'!G9:G70,"")</f>
        <v>3</v>
      </c>
    </row>
    <row r="9" spans="1:8" x14ac:dyDescent="0.25">
      <c r="A9" s="28">
        <f>IF('Tax Equivalent Yield'!J16="",0,'Tax Equivalent Yield'!J16)</f>
        <v>0</v>
      </c>
      <c r="B9">
        <f>IF('Tax Equivalent Yield'!K16="",0,'Tax Equivalent Yield'!K16)</f>
        <v>0</v>
      </c>
      <c r="E9" t="str">
        <f>_xlfn.CONCAT(E4, " ", E6, " ", E5, " RETURNS PROFILE")</f>
        <v>0.75 BNS 10/07/2024 RETURNS PROFILE</v>
      </c>
    </row>
    <row r="10" spans="1:8" x14ac:dyDescent="0.25">
      <c r="A10" s="28">
        <f>IF('Tax Equivalent Yield'!J17="",0,'Tax Equivalent Yield'!J17)</f>
        <v>0</v>
      </c>
      <c r="B10">
        <f>IF('Tax Equivalent Yield'!K17="",0,'Tax Equivalent Yield'!K17)</f>
        <v>0</v>
      </c>
    </row>
    <row r="11" spans="1:8" x14ac:dyDescent="0.25">
      <c r="A11" s="28">
        <f>IF('Tax Equivalent Yield'!J18="",0,'Tax Equivalent Yield'!J18)</f>
        <v>0</v>
      </c>
      <c r="B11">
        <f>IF('Tax Equivalent Yield'!K18="",0,'Tax Equivalent Yield'!K18)</f>
        <v>0</v>
      </c>
      <c r="F11" t="s">
        <v>109</v>
      </c>
      <c r="G11" t="s">
        <v>110</v>
      </c>
    </row>
    <row r="12" spans="1:8" x14ac:dyDescent="0.25">
      <c r="A12" s="28">
        <f>IF('Tax Equivalent Yield'!J19="",0,'Tax Equivalent Yield'!J19)</f>
        <v>0</v>
      </c>
      <c r="B12">
        <f>IF('Tax Equivalent Yield'!K19="",0,'Tax Equivalent Yield'!K19)</f>
        <v>0</v>
      </c>
      <c r="E12" t="s">
        <v>108</v>
      </c>
      <c r="F12" s="99">
        <f>(100-'Tax Equivalent Yield'!D12)*'Tax Equivalent Yield'!Q32/100</f>
        <v>52699.999999999964</v>
      </c>
      <c r="G12" s="99">
        <f>F12*(1-'Tax Equivalent Yield'!D16)</f>
        <v>38602.749999999971</v>
      </c>
    </row>
    <row r="13" spans="1:8" x14ac:dyDescent="0.25">
      <c r="A13" s="28">
        <f>IF('Tax Equivalent Yield'!J20="",0,'Tax Equivalent Yield'!J20)</f>
        <v>0</v>
      </c>
      <c r="B13">
        <f>IF('Tax Equivalent Yield'!K20="",0,'Tax Equivalent Yield'!K20)</f>
        <v>0</v>
      </c>
      <c r="E13" t="s">
        <v>107</v>
      </c>
      <c r="F13" s="100">
        <f>('Tax Equivalent Yield'!D11)/2*(61-COUNTIF('Tax Equivalent Yield'!G9:G70,""))*'Tax Equivalent Yield'!Q32/100-'Tax Equivalent Yield'!D13*'Tax Equivalent Yield'!Q32/100</f>
        <v>8866.4383561643826</v>
      </c>
      <c r="G13" s="100">
        <f>F13*(1-'Tax Equivalent Yield'!D15)</f>
        <v>4122.8938356164381</v>
      </c>
    </row>
    <row r="14" spans="1:8" x14ac:dyDescent="0.25">
      <c r="A14" s="28">
        <f>IF('Tax Equivalent Yield'!J21="",0,'Tax Equivalent Yield'!J21)</f>
        <v>0</v>
      </c>
      <c r="B14">
        <f>IF('Tax Equivalent Yield'!K21="",0,'Tax Equivalent Yield'!K21)</f>
        <v>0</v>
      </c>
      <c r="F14" s="99">
        <f>SUM(F12:F13)</f>
        <v>61566.438356164348</v>
      </c>
      <c r="G14" s="27">
        <f>SUM(G12:G13)</f>
        <v>42725.643835616407</v>
      </c>
    </row>
    <row r="15" spans="1:8" x14ac:dyDescent="0.25">
      <c r="A15" s="28">
        <f>IF('Tax Equivalent Yield'!J22="",0,'Tax Equivalent Yield'!J22)</f>
        <v>0</v>
      </c>
      <c r="B15">
        <f>IF('Tax Equivalent Yield'!K22="",0,'Tax Equivalent Yield'!K22)</f>
        <v>0</v>
      </c>
    </row>
    <row r="16" spans="1:8" x14ac:dyDescent="0.25">
      <c r="A16" s="28">
        <f>IF('Tax Equivalent Yield'!J23="",0,'Tax Equivalent Yield'!J23)</f>
        <v>0</v>
      </c>
      <c r="B16">
        <f>IF('Tax Equivalent Yield'!K23="",0,'Tax Equivalent Yield'!K23)</f>
        <v>0</v>
      </c>
    </row>
    <row r="17" spans="1:2" x14ac:dyDescent="0.25">
      <c r="A17" s="28">
        <f>IF('Tax Equivalent Yield'!J24="",0,'Tax Equivalent Yield'!J24)</f>
        <v>0</v>
      </c>
      <c r="B17">
        <f>IF('Tax Equivalent Yield'!K24="",0,'Tax Equivalent Yield'!K24)</f>
        <v>0</v>
      </c>
    </row>
    <row r="18" spans="1:2" x14ac:dyDescent="0.25">
      <c r="A18" s="28">
        <f>IF('Tax Equivalent Yield'!J25="",0,'Tax Equivalent Yield'!J25)</f>
        <v>0</v>
      </c>
      <c r="B18">
        <f>IF('Tax Equivalent Yield'!K25="",0,'Tax Equivalent Yield'!K25)</f>
        <v>0</v>
      </c>
    </row>
    <row r="19" spans="1:2" x14ac:dyDescent="0.25">
      <c r="A19" s="28">
        <f>IF('Tax Equivalent Yield'!J26="",0,'Tax Equivalent Yield'!J26)</f>
        <v>0</v>
      </c>
      <c r="B19">
        <f>IF('Tax Equivalent Yield'!K26="",0,'Tax Equivalent Yield'!K26)</f>
        <v>0</v>
      </c>
    </row>
    <row r="20" spans="1:2" x14ac:dyDescent="0.25">
      <c r="A20" s="28">
        <f>IF('Tax Equivalent Yield'!J28="",0,'Tax Equivalent Yield'!J28)</f>
        <v>0</v>
      </c>
      <c r="B20">
        <f>IF('Tax Equivalent Yield'!K28="",0,'Tax Equivalent Yield'!K28)</f>
        <v>0</v>
      </c>
    </row>
    <row r="21" spans="1:2" x14ac:dyDescent="0.25">
      <c r="A21" s="28">
        <f>IF('Tax Equivalent Yield'!J29="",0,'Tax Equivalent Yield'!J29)</f>
        <v>0</v>
      </c>
      <c r="B21">
        <f>IF('Tax Equivalent Yield'!K29="",0,'Tax Equivalent Yield'!K29)</f>
        <v>0</v>
      </c>
    </row>
    <row r="22" spans="1:2" x14ac:dyDescent="0.25">
      <c r="A22" s="28">
        <f>IF('Tax Equivalent Yield'!J30="",0,'Tax Equivalent Yield'!J30)</f>
        <v>0</v>
      </c>
      <c r="B22">
        <f>IF('Tax Equivalent Yield'!K30="",0,'Tax Equivalent Yield'!K30)</f>
        <v>0</v>
      </c>
    </row>
    <row r="23" spans="1:2" x14ac:dyDescent="0.25">
      <c r="A23" s="28">
        <f>IF('Tax Equivalent Yield'!J31="",0,'Tax Equivalent Yield'!J31)</f>
        <v>0</v>
      </c>
      <c r="B23">
        <f>IF('Tax Equivalent Yield'!K31="",0,'Tax Equivalent Yield'!K31)</f>
        <v>0</v>
      </c>
    </row>
    <row r="24" spans="1:2" x14ac:dyDescent="0.25">
      <c r="A24" s="28">
        <f>IF('Tax Equivalent Yield'!J32="",0,'Tax Equivalent Yield'!J32)</f>
        <v>0</v>
      </c>
      <c r="B24">
        <f>IF('Tax Equivalent Yield'!K32="",0,'Tax Equivalent Yield'!K32)</f>
        <v>0</v>
      </c>
    </row>
    <row r="25" spans="1:2" x14ac:dyDescent="0.25">
      <c r="A25" s="28">
        <f>IF('Tax Equivalent Yield'!J33="",0,'Tax Equivalent Yield'!J33)</f>
        <v>0</v>
      </c>
      <c r="B25">
        <f>IF('Tax Equivalent Yield'!K33="",0,'Tax Equivalent Yield'!K33)</f>
        <v>0</v>
      </c>
    </row>
    <row r="26" spans="1:2" x14ac:dyDescent="0.25">
      <c r="A26" s="28">
        <f>IF('Tax Equivalent Yield'!J34="",0,'Tax Equivalent Yield'!J34)</f>
        <v>0</v>
      </c>
      <c r="B26">
        <f>IF('Tax Equivalent Yield'!K34="",0,'Tax Equivalent Yield'!K34)</f>
        <v>0</v>
      </c>
    </row>
    <row r="27" spans="1:2" x14ac:dyDescent="0.25">
      <c r="A27" s="28">
        <f>IF('Tax Equivalent Yield'!J35="",0,'Tax Equivalent Yield'!J35)</f>
        <v>0</v>
      </c>
      <c r="B27">
        <f>IF('Tax Equivalent Yield'!K35="",0,'Tax Equivalent Yield'!K35)</f>
        <v>0</v>
      </c>
    </row>
    <row r="28" spans="1:2" x14ac:dyDescent="0.25">
      <c r="A28" s="28">
        <f>IF('Tax Equivalent Yield'!J36="",0,'Tax Equivalent Yield'!J36)</f>
        <v>0</v>
      </c>
      <c r="B28">
        <f>IF('Tax Equivalent Yield'!K36="",0,'Tax Equivalent Yield'!K36)</f>
        <v>0</v>
      </c>
    </row>
    <row r="29" spans="1:2" x14ac:dyDescent="0.25">
      <c r="A29" s="28">
        <f>IF('Tax Equivalent Yield'!J37="",0,'Tax Equivalent Yield'!J37)</f>
        <v>0</v>
      </c>
      <c r="B29">
        <f>IF('Tax Equivalent Yield'!K37="",0,'Tax Equivalent Yield'!K37)</f>
        <v>0</v>
      </c>
    </row>
    <row r="30" spans="1:2" x14ac:dyDescent="0.25">
      <c r="A30" s="28">
        <f>IF('Tax Equivalent Yield'!J38="",0,'Tax Equivalent Yield'!J38)</f>
        <v>0</v>
      </c>
      <c r="B30">
        <f>IF('Tax Equivalent Yield'!K38="",0,'Tax Equivalent Yield'!K38)</f>
        <v>0</v>
      </c>
    </row>
    <row r="31" spans="1:2" x14ac:dyDescent="0.25">
      <c r="A31" s="28">
        <f>IF('Tax Equivalent Yield'!J39="",0,'Tax Equivalent Yield'!J39)</f>
        <v>0</v>
      </c>
      <c r="B31">
        <f>IF('Tax Equivalent Yield'!K39="",0,'Tax Equivalent Yield'!K39)</f>
        <v>0</v>
      </c>
    </row>
    <row r="32" spans="1:2" x14ac:dyDescent="0.25">
      <c r="A32" s="28">
        <f>IF('Tax Equivalent Yield'!J40="",0,'Tax Equivalent Yield'!J40)</f>
        <v>0</v>
      </c>
      <c r="B32">
        <f>IF('Tax Equivalent Yield'!K40="",0,'Tax Equivalent Yield'!K40)</f>
        <v>0</v>
      </c>
    </row>
    <row r="33" spans="1:2" x14ac:dyDescent="0.25">
      <c r="A33" s="28">
        <f>IF('Tax Equivalent Yield'!J41="",0,'Tax Equivalent Yield'!J41)</f>
        <v>0</v>
      </c>
      <c r="B33">
        <f>IF('Tax Equivalent Yield'!K41="",0,'Tax Equivalent Yield'!K41)</f>
        <v>0</v>
      </c>
    </row>
    <row r="34" spans="1:2" x14ac:dyDescent="0.25">
      <c r="A34" s="28">
        <f>IF('Tax Equivalent Yield'!J42="",0,'Tax Equivalent Yield'!J42)</f>
        <v>0</v>
      </c>
      <c r="B34">
        <f>IF('Tax Equivalent Yield'!K42="",0,'Tax Equivalent Yield'!K42)</f>
        <v>0</v>
      </c>
    </row>
    <row r="35" spans="1:2" x14ac:dyDescent="0.25">
      <c r="A35" s="28">
        <f>IF('Tax Equivalent Yield'!J43="",0,'Tax Equivalent Yield'!J43)</f>
        <v>0</v>
      </c>
      <c r="B35">
        <f>IF('Tax Equivalent Yield'!K43="",0,'Tax Equivalent Yield'!K43)</f>
        <v>0</v>
      </c>
    </row>
    <row r="36" spans="1:2" x14ac:dyDescent="0.25">
      <c r="A36" s="28">
        <f>IF('Tax Equivalent Yield'!J44="",0,'Tax Equivalent Yield'!J44)</f>
        <v>0</v>
      </c>
      <c r="B36">
        <f>IF('Tax Equivalent Yield'!K44="",0,'Tax Equivalent Yield'!K44)</f>
        <v>0</v>
      </c>
    </row>
    <row r="37" spans="1:2" x14ac:dyDescent="0.25">
      <c r="A37" s="28">
        <f>IF('Tax Equivalent Yield'!J45="",0,'Tax Equivalent Yield'!J45)</f>
        <v>0</v>
      </c>
      <c r="B37">
        <f>IF('Tax Equivalent Yield'!K45="",0,'Tax Equivalent Yield'!K45)</f>
        <v>0</v>
      </c>
    </row>
    <row r="38" spans="1:2" x14ac:dyDescent="0.25">
      <c r="A38" s="28">
        <f>IF('Tax Equivalent Yield'!J46="",0,'Tax Equivalent Yield'!J46)</f>
        <v>0</v>
      </c>
      <c r="B38">
        <f>IF('Tax Equivalent Yield'!K46="",0,'Tax Equivalent Yield'!K46)</f>
        <v>0</v>
      </c>
    </row>
    <row r="39" spans="1:2" x14ac:dyDescent="0.25">
      <c r="A39" s="28">
        <f>IF('Tax Equivalent Yield'!J47="",0,'Tax Equivalent Yield'!J47)</f>
        <v>0</v>
      </c>
      <c r="B39">
        <f>IF('Tax Equivalent Yield'!K47="",0,'Tax Equivalent Yield'!K47)</f>
        <v>0</v>
      </c>
    </row>
    <row r="40" spans="1:2" x14ac:dyDescent="0.25">
      <c r="A40" s="28">
        <f>IF('Tax Equivalent Yield'!J48="",0,'Tax Equivalent Yield'!J48)</f>
        <v>0</v>
      </c>
      <c r="B40">
        <f>IF('Tax Equivalent Yield'!K48="",0,'Tax Equivalent Yield'!K48)</f>
        <v>0</v>
      </c>
    </row>
    <row r="41" spans="1:2" x14ac:dyDescent="0.25">
      <c r="A41" s="28">
        <f>IF('Tax Equivalent Yield'!J49="",0,'Tax Equivalent Yield'!J49)</f>
        <v>0</v>
      </c>
      <c r="B41">
        <f>IF('Tax Equivalent Yield'!K49="",0,'Tax Equivalent Yield'!K49)</f>
        <v>0</v>
      </c>
    </row>
    <row r="42" spans="1:2" x14ac:dyDescent="0.25">
      <c r="A42" s="28">
        <f>IF('Tax Equivalent Yield'!J50="",0,'Tax Equivalent Yield'!J50)</f>
        <v>0</v>
      </c>
      <c r="B42">
        <f>IF('Tax Equivalent Yield'!K50="",0,'Tax Equivalent Yield'!K50)</f>
        <v>0</v>
      </c>
    </row>
    <row r="43" spans="1:2" x14ac:dyDescent="0.25">
      <c r="A43" s="28">
        <f>IF('Tax Equivalent Yield'!J51="",0,'Tax Equivalent Yield'!J51)</f>
        <v>0</v>
      </c>
      <c r="B43">
        <f>IF('Tax Equivalent Yield'!K51="",0,'Tax Equivalent Yield'!K51)</f>
        <v>0</v>
      </c>
    </row>
    <row r="44" spans="1:2" x14ac:dyDescent="0.25">
      <c r="A44" s="28">
        <f>IF('Tax Equivalent Yield'!J52="",0,'Tax Equivalent Yield'!J52)</f>
        <v>0</v>
      </c>
      <c r="B44">
        <f>IF('Tax Equivalent Yield'!K52="",0,'Tax Equivalent Yield'!K52)</f>
        <v>0</v>
      </c>
    </row>
    <row r="45" spans="1:2" x14ac:dyDescent="0.25">
      <c r="A45" s="28">
        <f>IF('Tax Equivalent Yield'!J53="",0,'Tax Equivalent Yield'!J53)</f>
        <v>0</v>
      </c>
      <c r="B45">
        <f>IF('Tax Equivalent Yield'!K53="",0,'Tax Equivalent Yield'!K53)</f>
        <v>0</v>
      </c>
    </row>
    <row r="46" spans="1:2" x14ac:dyDescent="0.25">
      <c r="A46" s="28">
        <f>IF('Tax Equivalent Yield'!J54="",0,'Tax Equivalent Yield'!J54)</f>
        <v>0</v>
      </c>
      <c r="B46">
        <f>IF('Tax Equivalent Yield'!K54="",0,'Tax Equivalent Yield'!K54)</f>
        <v>0</v>
      </c>
    </row>
    <row r="47" spans="1:2" x14ac:dyDescent="0.25">
      <c r="A47" s="28">
        <f>IF('Tax Equivalent Yield'!J55="",0,'Tax Equivalent Yield'!J55)</f>
        <v>0</v>
      </c>
      <c r="B47">
        <f>IF('Tax Equivalent Yield'!K55="",0,'Tax Equivalent Yield'!K55)</f>
        <v>0</v>
      </c>
    </row>
    <row r="48" spans="1:2" x14ac:dyDescent="0.25">
      <c r="A48" s="28">
        <f>IF('Tax Equivalent Yield'!J56="",0,'Tax Equivalent Yield'!J56)</f>
        <v>0</v>
      </c>
      <c r="B48">
        <f>IF('Tax Equivalent Yield'!K56="",0,'Tax Equivalent Yield'!K56)</f>
        <v>0</v>
      </c>
    </row>
    <row r="49" spans="1:2" x14ac:dyDescent="0.25">
      <c r="A49" s="28">
        <f>IF('Tax Equivalent Yield'!J57="",0,'Tax Equivalent Yield'!J57)</f>
        <v>0</v>
      </c>
      <c r="B49">
        <f>IF('Tax Equivalent Yield'!K57="",0,'Tax Equivalent Yield'!K57)</f>
        <v>0</v>
      </c>
    </row>
    <row r="50" spans="1:2" x14ac:dyDescent="0.25">
      <c r="A50" s="28">
        <f>IF('Tax Equivalent Yield'!J58="",0,'Tax Equivalent Yield'!J58)</f>
        <v>0</v>
      </c>
      <c r="B50">
        <f>IF('Tax Equivalent Yield'!K58="",0,'Tax Equivalent Yield'!K58)</f>
        <v>0</v>
      </c>
    </row>
    <row r="51" spans="1:2" x14ac:dyDescent="0.25">
      <c r="A51" s="28">
        <f>IF('Tax Equivalent Yield'!J59="",0,'Tax Equivalent Yield'!J59)</f>
        <v>0</v>
      </c>
      <c r="B51">
        <f>IF('Tax Equivalent Yield'!K59="",0,'Tax Equivalent Yield'!K59)</f>
        <v>0</v>
      </c>
    </row>
    <row r="52" spans="1:2" x14ac:dyDescent="0.25">
      <c r="A52" s="28">
        <f>IF('Tax Equivalent Yield'!J60="",0,'Tax Equivalent Yield'!J60)</f>
        <v>0</v>
      </c>
      <c r="B52">
        <f>IF('Tax Equivalent Yield'!K60="",0,'Tax Equivalent Yield'!K60)</f>
        <v>0</v>
      </c>
    </row>
    <row r="53" spans="1:2" x14ac:dyDescent="0.25">
      <c r="A53" s="28">
        <f>IF('Tax Equivalent Yield'!J61="",0,'Tax Equivalent Yield'!J61)</f>
        <v>0</v>
      </c>
      <c r="B53">
        <f>IF('Tax Equivalent Yield'!K61="",0,'Tax Equivalent Yield'!K61)</f>
        <v>0</v>
      </c>
    </row>
    <row r="54" spans="1:2" x14ac:dyDescent="0.25">
      <c r="A54" s="28">
        <f>IF('Tax Equivalent Yield'!J62="",0,'Tax Equivalent Yield'!J62)</f>
        <v>0</v>
      </c>
      <c r="B54">
        <f>IF('Tax Equivalent Yield'!K62="",0,'Tax Equivalent Yield'!K62)</f>
        <v>0</v>
      </c>
    </row>
  </sheetData>
  <sheetProtection algorithmName="SHA-512" hashValue="rLA3rqDaTF3q5EKCkd3O1BRfbklz2hp196D86ZFSDutG4Zh8VZdV7A3eUkZ+cqaw0JuFXYlmLarP4YUllLD4SA==" saltValue="J0Rq6gROQknK0B0lXn+5iA==" spinCount="100000" sheet="1" objects="1" scenarios="1"/>
  <pageMargins left="0.7" right="0.7" top="0.75" bottom="0.75" header="0.3" footer="0.3"/>
  <pageSetup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c21157ca-bce3-41a8-8aa7-a23c4639610a}" enabled="0" method="" siteId="{c21157ca-bce3-41a8-8aa7-a23c4639610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 Equivalent Yield</vt:lpstr>
      <vt:lpstr>Sample</vt:lpstr>
      <vt:lpstr>Interest Verification</vt:lpstr>
      <vt:lpstr>Commission</vt:lpstr>
      <vt:lpstr>Helper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Graves, Jakob</dc:creator>
  <cp:lastModifiedBy>Graves, Jakob</cp:lastModifiedBy>
  <cp:lastPrinted>2023-07-06T18:43:20Z</cp:lastPrinted>
  <dcterms:created xsi:type="dcterms:W3CDTF">2023-05-16T14:58:14Z</dcterms:created>
  <dcterms:modified xsi:type="dcterms:W3CDTF">2023-07-31T16:50:37Z</dcterms:modified>
</cp:coreProperties>
</file>