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Project-Portfolio\Hardware\24V Multiphase Buck\Research and Documentation\"/>
    </mc:Choice>
  </mc:AlternateContent>
  <xr:revisionPtr revIDLastSave="0" documentId="13_ncr:1_{71DAD921-234B-4D6C-89CC-593F72ECC5FB}" xr6:coauthVersionLast="47" xr6:coauthVersionMax="47" xr10:uidLastSave="{00000000-0000-0000-0000-000000000000}"/>
  <bookViews>
    <workbookView xWindow="-108" yWindow="-108" windowWidth="23256" windowHeight="12576" activeTab="2" xr2:uid="{966D6099-656F-453C-A914-3EE759F28358}"/>
  </bookViews>
  <sheets>
    <sheet name="Rework" sheetId="2" r:id="rId1"/>
    <sheet name="Rev2 - IPB073N15N5ATMA1" sheetId="9" r:id="rId2"/>
    <sheet name="Rev2 - IRLS4030TRL7PP" sheetId="8" r:id="rId3"/>
    <sheet name="Rev2 - RJ1P12BBDTLL" sheetId="7" r:id="rId4"/>
    <sheet name="Rev2 - STH110N10F7-2" sheetId="6" r:id="rId5"/>
    <sheet name="Rev2 - IXTA130N15X4" sheetId="5" r:id="rId6"/>
    <sheet name="Original" sheetId="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8" l="1"/>
  <c r="K25" i="8"/>
  <c r="G22" i="8"/>
  <c r="C42" i="8"/>
  <c r="C40" i="8"/>
  <c r="K14" i="8"/>
  <c r="C38" i="8"/>
  <c r="G21" i="8"/>
  <c r="K24" i="8"/>
  <c r="K18" i="8"/>
  <c r="K20" i="8"/>
  <c r="K17" i="8"/>
  <c r="G19" i="8"/>
  <c r="G18" i="8"/>
  <c r="G46" i="9"/>
  <c r="G36" i="9" s="1"/>
  <c r="G47" i="9"/>
  <c r="G48" i="9"/>
  <c r="G63" i="9"/>
  <c r="G62" i="9"/>
  <c r="G55" i="9"/>
  <c r="G54" i="9"/>
  <c r="C38" i="9"/>
  <c r="C40" i="9" s="1"/>
  <c r="C35" i="9"/>
  <c r="G32" i="9"/>
  <c r="C31" i="9"/>
  <c r="G28" i="9"/>
  <c r="C27" i="9"/>
  <c r="C29" i="9" s="1"/>
  <c r="C22" i="9"/>
  <c r="G18" i="9"/>
  <c r="K17" i="9"/>
  <c r="G6" i="9" s="1"/>
  <c r="G17" i="9"/>
  <c r="C17" i="9"/>
  <c r="K16" i="9"/>
  <c r="K15" i="9"/>
  <c r="C15" i="9"/>
  <c r="K13" i="9"/>
  <c r="C10" i="9"/>
  <c r="C5" i="9"/>
  <c r="G51" i="8"/>
  <c r="G50" i="8"/>
  <c r="G49" i="8"/>
  <c r="G66" i="8"/>
  <c r="G65" i="8"/>
  <c r="G58" i="8"/>
  <c r="G57" i="8"/>
  <c r="G39" i="8"/>
  <c r="G42" i="8" s="1"/>
  <c r="C35" i="8"/>
  <c r="G35" i="8"/>
  <c r="C31" i="8"/>
  <c r="C29" i="8"/>
  <c r="G31" i="8"/>
  <c r="C27" i="8"/>
  <c r="C22" i="8"/>
  <c r="G26" i="8"/>
  <c r="C17" i="8"/>
  <c r="K16" i="8"/>
  <c r="K15" i="8"/>
  <c r="C15" i="8"/>
  <c r="K13" i="8"/>
  <c r="C10" i="8"/>
  <c r="C5" i="8"/>
  <c r="G48" i="7"/>
  <c r="G47" i="7"/>
  <c r="G46" i="7"/>
  <c r="G36" i="7" s="1"/>
  <c r="G63" i="7"/>
  <c r="G62" i="7"/>
  <c r="G55" i="7"/>
  <c r="G54" i="7"/>
  <c r="C38" i="7"/>
  <c r="K14" i="7" s="1"/>
  <c r="C35" i="7"/>
  <c r="G32" i="7"/>
  <c r="C31" i="7"/>
  <c r="G28" i="7"/>
  <c r="C27" i="7"/>
  <c r="C29" i="7" s="1"/>
  <c r="C22" i="7"/>
  <c r="G18" i="7"/>
  <c r="K17" i="7"/>
  <c r="C42" i="7" s="1"/>
  <c r="G17" i="7"/>
  <c r="G19" i="7" s="1"/>
  <c r="C17" i="7"/>
  <c r="K16" i="7"/>
  <c r="C16" i="7" s="1"/>
  <c r="K15" i="7"/>
  <c r="C15" i="7"/>
  <c r="K13" i="7"/>
  <c r="C10" i="7"/>
  <c r="C5" i="7"/>
  <c r="G48" i="6"/>
  <c r="G47" i="6"/>
  <c r="G46" i="6"/>
  <c r="G63" i="6"/>
  <c r="G62" i="6"/>
  <c r="G55" i="6"/>
  <c r="G54" i="6"/>
  <c r="C38" i="6"/>
  <c r="C40" i="6" s="1"/>
  <c r="G36" i="6"/>
  <c r="G39" i="6" s="1"/>
  <c r="C35" i="6"/>
  <c r="G32" i="6"/>
  <c r="C31" i="6"/>
  <c r="G28" i="6"/>
  <c r="C27" i="6"/>
  <c r="C29" i="6" s="1"/>
  <c r="C22" i="6"/>
  <c r="G18" i="6"/>
  <c r="K17" i="6"/>
  <c r="C42" i="6" s="1"/>
  <c r="G17" i="6"/>
  <c r="C17" i="6"/>
  <c r="K16" i="6"/>
  <c r="K15" i="6"/>
  <c r="C15" i="6"/>
  <c r="C16" i="6" s="1"/>
  <c r="K13" i="6"/>
  <c r="C10" i="6"/>
  <c r="C5" i="6"/>
  <c r="C57" i="5"/>
  <c r="G48" i="5"/>
  <c r="G47" i="5"/>
  <c r="G46" i="5"/>
  <c r="G36" i="5" s="1"/>
  <c r="G39" i="5" s="1"/>
  <c r="G56" i="5"/>
  <c r="G55" i="5"/>
  <c r="G59" i="5"/>
  <c r="G54" i="5"/>
  <c r="G62" i="5"/>
  <c r="G67" i="5"/>
  <c r="G64" i="5"/>
  <c r="G63" i="5"/>
  <c r="C38" i="5"/>
  <c r="C35" i="5"/>
  <c r="C31" i="5"/>
  <c r="G28" i="5"/>
  <c r="C27" i="5"/>
  <c r="C29" i="5" s="1"/>
  <c r="C22" i="5"/>
  <c r="G18" i="5"/>
  <c r="G17" i="5"/>
  <c r="C17" i="5"/>
  <c r="K16" i="5"/>
  <c r="K15" i="5"/>
  <c r="C16" i="5" s="1"/>
  <c r="C15" i="5"/>
  <c r="K14" i="5"/>
  <c r="K13" i="5"/>
  <c r="C10" i="5"/>
  <c r="C5" i="5"/>
  <c r="K17" i="5" s="1"/>
  <c r="G59" i="1"/>
  <c r="G55" i="1"/>
  <c r="G56" i="1"/>
  <c r="G57" i="1"/>
  <c r="G58" i="1"/>
  <c r="G49" i="1"/>
  <c r="G48" i="1"/>
  <c r="G54" i="1"/>
  <c r="C38" i="1"/>
  <c r="K14" i="1"/>
  <c r="C42" i="1"/>
  <c r="C48" i="1" s="1"/>
  <c r="C40" i="1"/>
  <c r="G52" i="2"/>
  <c r="G55" i="2" s="1"/>
  <c r="C5" i="1"/>
  <c r="K17" i="2"/>
  <c r="C42" i="2"/>
  <c r="C48" i="2" s="1"/>
  <c r="C38" i="2"/>
  <c r="G37" i="2"/>
  <c r="G40" i="2" s="1"/>
  <c r="C35" i="2"/>
  <c r="C31" i="2"/>
  <c r="G28" i="2"/>
  <c r="C27" i="2"/>
  <c r="C29" i="2" s="1"/>
  <c r="C22" i="2"/>
  <c r="G18" i="2"/>
  <c r="G17" i="2" s="1"/>
  <c r="C17" i="2"/>
  <c r="K16" i="2"/>
  <c r="K15" i="2"/>
  <c r="C15" i="2"/>
  <c r="K14" i="2"/>
  <c r="K13" i="2"/>
  <c r="C10" i="2"/>
  <c r="C10" i="1"/>
  <c r="C35" i="1"/>
  <c r="C31" i="1"/>
  <c r="C29" i="1"/>
  <c r="C27" i="1"/>
  <c r="C22" i="1"/>
  <c r="G18" i="1"/>
  <c r="K16" i="1"/>
  <c r="K15" i="1"/>
  <c r="G36" i="1"/>
  <c r="G39" i="1" s="1"/>
  <c r="C17" i="1"/>
  <c r="C15" i="1"/>
  <c r="G28" i="1"/>
  <c r="K13" i="1"/>
  <c r="C16" i="8" l="1"/>
  <c r="C16" i="9"/>
  <c r="G39" i="9"/>
  <c r="C51" i="9"/>
  <c r="C54" i="9" s="1"/>
  <c r="G57" i="9"/>
  <c r="C57" i="9"/>
  <c r="C60" i="9" s="1"/>
  <c r="G23" i="9"/>
  <c r="C42" i="9"/>
  <c r="G13" i="9"/>
  <c r="K14" i="9"/>
  <c r="G64" i="9"/>
  <c r="G65" i="9"/>
  <c r="C51" i="8"/>
  <c r="C54" i="8" s="1"/>
  <c r="G62" i="8"/>
  <c r="G59" i="8"/>
  <c r="G70" i="8"/>
  <c r="C57" i="8"/>
  <c r="C60" i="8" s="1"/>
  <c r="G6" i="8"/>
  <c r="G60" i="8"/>
  <c r="G13" i="8"/>
  <c r="C45" i="8"/>
  <c r="C47" i="8" s="1"/>
  <c r="G67" i="8"/>
  <c r="G68" i="8"/>
  <c r="G57" i="7"/>
  <c r="C57" i="7"/>
  <c r="C60" i="7" s="1"/>
  <c r="C51" i="7"/>
  <c r="C54" i="7" s="1"/>
  <c r="G67" i="7"/>
  <c r="G56" i="7"/>
  <c r="G59" i="7"/>
  <c r="G20" i="7"/>
  <c r="G24" i="7" s="1"/>
  <c r="G30" i="7" s="1"/>
  <c r="C48" i="7"/>
  <c r="G5" i="7"/>
  <c r="G8" i="7" s="1"/>
  <c r="C45" i="7"/>
  <c r="C47" i="7" s="1"/>
  <c r="C44" i="7"/>
  <c r="G6" i="7"/>
  <c r="G7" i="7" s="1"/>
  <c r="C40" i="7"/>
  <c r="G39" i="7"/>
  <c r="G23" i="7"/>
  <c r="G29" i="7" s="1"/>
  <c r="G33" i="7" s="1"/>
  <c r="G64" i="7"/>
  <c r="G66" i="7" s="1"/>
  <c r="G13" i="7"/>
  <c r="G65" i="7"/>
  <c r="C51" i="6"/>
  <c r="C54" i="6" s="1"/>
  <c r="G19" i="6"/>
  <c r="C48" i="6"/>
  <c r="C44" i="6"/>
  <c r="G5" i="6"/>
  <c r="G8" i="6" s="1"/>
  <c r="G20" i="6"/>
  <c r="G24" i="6" s="1"/>
  <c r="G30" i="6" s="1"/>
  <c r="G31" i="6" s="1"/>
  <c r="C57" i="6"/>
  <c r="C60" i="6" s="1"/>
  <c r="G6" i="6"/>
  <c r="G7" i="6" s="1"/>
  <c r="G57" i="6"/>
  <c r="G23" i="6"/>
  <c r="G29" i="6" s="1"/>
  <c r="G33" i="6" s="1"/>
  <c r="G13" i="6"/>
  <c r="C45" i="6"/>
  <c r="C47" i="6" s="1"/>
  <c r="K14" i="6"/>
  <c r="G64" i="6"/>
  <c r="G65" i="6"/>
  <c r="G65" i="5"/>
  <c r="G66" i="5" s="1"/>
  <c r="G57" i="5"/>
  <c r="G58" i="5" s="1"/>
  <c r="C60" i="5"/>
  <c r="C51" i="5"/>
  <c r="C54" i="5" s="1"/>
  <c r="G6" i="5"/>
  <c r="C40" i="5"/>
  <c r="G13" i="5"/>
  <c r="C42" i="5"/>
  <c r="G23" i="5"/>
  <c r="G32" i="5"/>
  <c r="G5" i="5"/>
  <c r="G8" i="5" s="1"/>
  <c r="C51" i="1"/>
  <c r="C54" i="1" s="1"/>
  <c r="C44" i="1"/>
  <c r="C45" i="1"/>
  <c r="C47" i="1" s="1"/>
  <c r="G13" i="2"/>
  <c r="G32" i="2"/>
  <c r="G19" i="2"/>
  <c r="G20" i="2"/>
  <c r="G24" i="2" s="1"/>
  <c r="G23" i="2"/>
  <c r="G6" i="2"/>
  <c r="G5" i="2"/>
  <c r="G8" i="2" s="1"/>
  <c r="C45" i="2"/>
  <c r="C47" i="2" s="1"/>
  <c r="C44" i="2"/>
  <c r="C16" i="2"/>
  <c r="G30" i="2"/>
  <c r="G29" i="2"/>
  <c r="G33" i="2" s="1"/>
  <c r="C40" i="2"/>
  <c r="G17" i="1"/>
  <c r="C16" i="1"/>
  <c r="G61" i="8" l="1"/>
  <c r="G66" i="9"/>
  <c r="C48" i="9"/>
  <c r="C45" i="9"/>
  <c r="C47" i="9" s="1"/>
  <c r="C44" i="9"/>
  <c r="G20" i="9"/>
  <c r="G24" i="9" s="1"/>
  <c r="G30" i="9" s="1"/>
  <c r="G5" i="9"/>
  <c r="G56" i="9"/>
  <c r="G58" i="9" s="1"/>
  <c r="G59" i="9"/>
  <c r="G29" i="9"/>
  <c r="G33" i="9" s="1"/>
  <c r="G19" i="9"/>
  <c r="G67" i="9"/>
  <c r="C48" i="8"/>
  <c r="G5" i="8"/>
  <c r="G8" i="8" s="1"/>
  <c r="G27" i="8"/>
  <c r="G69" i="8"/>
  <c r="G7" i="8"/>
  <c r="C44" i="8"/>
  <c r="G58" i="7"/>
  <c r="G31" i="7"/>
  <c r="G66" i="6"/>
  <c r="G59" i="6"/>
  <c r="G56" i="6"/>
  <c r="G67" i="6"/>
  <c r="G58" i="6"/>
  <c r="G20" i="5"/>
  <c r="G24" i="5" s="1"/>
  <c r="G30" i="5" s="1"/>
  <c r="C45" i="5"/>
  <c r="C47" i="5" s="1"/>
  <c r="C48" i="5"/>
  <c r="C44" i="5"/>
  <c r="G7" i="5"/>
  <c r="G19" i="5"/>
  <c r="G7" i="2"/>
  <c r="G31" i="2"/>
  <c r="G8" i="9" l="1"/>
  <c r="G7" i="9"/>
  <c r="G31" i="9"/>
  <c r="G33" i="8"/>
  <c r="G32" i="8"/>
  <c r="G36" i="8" s="1"/>
  <c r="G29" i="5"/>
  <c r="G33" i="5" s="1"/>
  <c r="G23" i="1"/>
  <c r="G20" i="1"/>
  <c r="G24" i="1" s="1"/>
  <c r="G6" i="1"/>
  <c r="G32" i="1"/>
  <c r="K17" i="1"/>
  <c r="G13" i="1"/>
  <c r="G34" i="8" l="1"/>
  <c r="G31" i="5"/>
  <c r="G30" i="1"/>
  <c r="G29" i="1"/>
  <c r="G33" i="1" s="1"/>
  <c r="G19" i="1"/>
  <c r="G5" i="1"/>
  <c r="G8" i="1" s="1"/>
  <c r="G31" i="1" l="1"/>
  <c r="G7" i="1"/>
</calcChain>
</file>

<file path=xl/sharedStrings.xml><?xml version="1.0" encoding="utf-8"?>
<sst xmlns="http://schemas.openxmlformats.org/spreadsheetml/2006/main" count="1417" uniqueCount="140">
  <si>
    <t>Frequency Selection</t>
  </si>
  <si>
    <t>Current Sensing</t>
  </si>
  <si>
    <r>
      <t>R</t>
    </r>
    <r>
      <rPr>
        <sz val="8"/>
        <color theme="1"/>
        <rFont val="Calibri"/>
        <family val="2"/>
        <scheme val="minor"/>
      </rPr>
      <t>RT</t>
    </r>
  </si>
  <si>
    <t>Ohm</t>
  </si>
  <si>
    <r>
      <t>R</t>
    </r>
    <r>
      <rPr>
        <sz val="8"/>
        <color theme="1"/>
        <rFont val="Calibri"/>
        <family val="2"/>
        <scheme val="minor"/>
      </rPr>
      <t>SENSE</t>
    </r>
  </si>
  <si>
    <t>Min Inductor Ripple Current</t>
  </si>
  <si>
    <t>A</t>
  </si>
  <si>
    <t>Peak Current Limit</t>
  </si>
  <si>
    <t>Min CS Ripple Voltage</t>
  </si>
  <si>
    <t>V</t>
  </si>
  <si>
    <r>
      <t>I</t>
    </r>
    <r>
      <rPr>
        <sz val="8"/>
        <color theme="1"/>
        <rFont val="Calibri"/>
        <family val="2"/>
        <scheme val="minor"/>
      </rPr>
      <t>LIM_</t>
    </r>
    <r>
      <rPr>
        <sz val="11"/>
        <color theme="1"/>
        <rFont val="Calibri"/>
        <family val="2"/>
        <scheme val="minor"/>
      </rPr>
      <t>Threshold/V</t>
    </r>
    <r>
      <rPr>
        <sz val="8"/>
        <color theme="1"/>
        <rFont val="Calibri"/>
        <family val="2"/>
        <scheme val="minor"/>
      </rPr>
      <t>CS</t>
    </r>
  </si>
  <si>
    <t>Max CS Ripple Voltage</t>
  </si>
  <si>
    <t>Parameter</t>
  </si>
  <si>
    <t>Value</t>
  </si>
  <si>
    <t>Unit</t>
  </si>
  <si>
    <r>
      <t>I</t>
    </r>
    <r>
      <rPr>
        <sz val="8"/>
        <color theme="1"/>
        <rFont val="Calibri"/>
        <family val="2"/>
        <scheme val="minor"/>
      </rPr>
      <t>LIM</t>
    </r>
  </si>
  <si>
    <r>
      <t>VIN</t>
    </r>
    <r>
      <rPr>
        <b/>
        <sz val="8"/>
        <color theme="1"/>
        <rFont val="Calibri"/>
        <family val="2"/>
        <scheme val="minor"/>
      </rPr>
      <t>MIN</t>
    </r>
  </si>
  <si>
    <r>
      <t>R</t>
    </r>
    <r>
      <rPr>
        <sz val="8"/>
        <color theme="1"/>
        <rFont val="Calibri"/>
        <family val="2"/>
        <scheme val="minor"/>
      </rPr>
      <t>ILM</t>
    </r>
  </si>
  <si>
    <t>kOhm</t>
  </si>
  <si>
    <t>Input Capacitor</t>
  </si>
  <si>
    <r>
      <t>VIN</t>
    </r>
    <r>
      <rPr>
        <b/>
        <sz val="8"/>
        <color theme="1"/>
        <rFont val="Calibri"/>
        <family val="2"/>
        <scheme val="minor"/>
      </rPr>
      <t>MAX</t>
    </r>
  </si>
  <si>
    <t>n</t>
  </si>
  <si>
    <t>eff</t>
  </si>
  <si>
    <t>VOUT</t>
  </si>
  <si>
    <t>Operating Input Voltage Range</t>
  </si>
  <si>
    <t>Input Ripple</t>
  </si>
  <si>
    <t>Max Load Total</t>
  </si>
  <si>
    <r>
      <t>t</t>
    </r>
    <r>
      <rPr>
        <sz val="8"/>
        <color theme="1"/>
        <rFont val="Calibri"/>
        <family val="2"/>
        <scheme val="minor"/>
      </rPr>
      <t>OFF_MIN</t>
    </r>
  </si>
  <si>
    <t>s</t>
  </si>
  <si>
    <r>
      <t>C</t>
    </r>
    <r>
      <rPr>
        <sz val="8"/>
        <color theme="1"/>
        <rFont val="Calibri"/>
        <family val="2"/>
        <scheme val="minor"/>
      </rPr>
      <t>IN</t>
    </r>
  </si>
  <si>
    <t>C</t>
  </si>
  <si>
    <t>Max Load Per</t>
  </si>
  <si>
    <r>
      <t>t</t>
    </r>
    <r>
      <rPr>
        <sz val="8"/>
        <color theme="1"/>
        <rFont val="Calibri"/>
        <family val="2"/>
        <scheme val="minor"/>
      </rPr>
      <t>ON_MIN</t>
    </r>
  </si>
  <si>
    <t>D</t>
  </si>
  <si>
    <r>
      <t>f</t>
    </r>
    <r>
      <rPr>
        <sz val="8"/>
        <color theme="1"/>
        <rFont val="Calibri"/>
        <family val="2"/>
        <scheme val="minor"/>
      </rPr>
      <t>SW_MAX</t>
    </r>
  </si>
  <si>
    <t>Hz</t>
  </si>
  <si>
    <t>Output Capacitor</t>
  </si>
  <si>
    <r>
      <t>R</t>
    </r>
    <r>
      <rPr>
        <b/>
        <sz val="8"/>
        <color theme="1"/>
        <rFont val="Calibri"/>
        <family val="2"/>
        <scheme val="minor"/>
      </rPr>
      <t>DS(ON)_LOW</t>
    </r>
  </si>
  <si>
    <r>
      <t>V</t>
    </r>
    <r>
      <rPr>
        <sz val="8"/>
        <color theme="1"/>
        <rFont val="Calibri"/>
        <family val="2"/>
        <scheme val="minor"/>
      </rPr>
      <t>IN_MIN</t>
    </r>
  </si>
  <si>
    <t>Max Output Ripple</t>
  </si>
  <si>
    <r>
      <t>R</t>
    </r>
    <r>
      <rPr>
        <b/>
        <sz val="8"/>
        <color theme="1"/>
        <rFont val="Calibri"/>
        <family val="2"/>
        <scheme val="minor"/>
      </rPr>
      <t>DS(ON)_HIGH</t>
    </r>
  </si>
  <si>
    <r>
      <t>V</t>
    </r>
    <r>
      <rPr>
        <sz val="8"/>
        <color theme="1"/>
        <rFont val="Calibri"/>
        <family val="2"/>
        <scheme val="minor"/>
      </rPr>
      <t>IN_MAX</t>
    </r>
  </si>
  <si>
    <r>
      <t>V</t>
    </r>
    <r>
      <rPr>
        <sz val="8"/>
        <color theme="1"/>
        <rFont val="Calibri"/>
        <family val="2"/>
        <scheme val="minor"/>
      </rPr>
      <t>OUTESR_SS</t>
    </r>
  </si>
  <si>
    <r>
      <t>f</t>
    </r>
    <r>
      <rPr>
        <b/>
        <sz val="9"/>
        <color theme="1"/>
        <rFont val="Calibri"/>
        <family val="2"/>
        <scheme val="minor"/>
      </rPr>
      <t>SW</t>
    </r>
  </si>
  <si>
    <r>
      <t>V</t>
    </r>
    <r>
      <rPr>
        <sz val="8"/>
        <color theme="1"/>
        <rFont val="Calibri"/>
        <family val="2"/>
        <scheme val="minor"/>
      </rPr>
      <t>OUTQ_SS</t>
    </r>
  </si>
  <si>
    <t>fSW_MAX</t>
  </si>
  <si>
    <t>Input Undervoltage-Lockout Level</t>
  </si>
  <si>
    <t>ESR</t>
  </si>
  <si>
    <t>Ohms</t>
  </si>
  <si>
    <t>(Voltage divider on EN_ pins)</t>
  </si>
  <si>
    <r>
      <t>C</t>
    </r>
    <r>
      <rPr>
        <sz val="8"/>
        <color theme="1"/>
        <rFont val="Calibri"/>
        <family val="2"/>
        <scheme val="minor"/>
      </rPr>
      <t>OUT</t>
    </r>
  </si>
  <si>
    <t>F</t>
  </si>
  <si>
    <r>
      <t>VIN</t>
    </r>
    <r>
      <rPr>
        <sz val="8"/>
        <color theme="1"/>
        <rFont val="Calibri"/>
        <family val="2"/>
        <scheme val="minor"/>
      </rPr>
      <t>UVLO</t>
    </r>
  </si>
  <si>
    <t>R1</t>
  </si>
  <si>
    <t>Loop Compensation</t>
  </si>
  <si>
    <t>R2</t>
  </si>
  <si>
    <r>
      <t>f</t>
    </r>
    <r>
      <rPr>
        <sz val="8"/>
        <color theme="1"/>
        <rFont val="Calibri"/>
        <family val="2"/>
        <scheme val="minor"/>
      </rPr>
      <t>CO</t>
    </r>
  </si>
  <si>
    <t>Setting the Output Voltage</t>
  </si>
  <si>
    <r>
      <t>G</t>
    </r>
    <r>
      <rPr>
        <sz val="8"/>
        <color theme="1"/>
        <rFont val="Calibri"/>
        <family val="2"/>
        <scheme val="minor"/>
      </rPr>
      <t>CS</t>
    </r>
  </si>
  <si>
    <t>V/V</t>
  </si>
  <si>
    <t>(Voltage divider on FB_ pins)</t>
  </si>
  <si>
    <t>Alpha</t>
  </si>
  <si>
    <r>
      <t>g</t>
    </r>
    <r>
      <rPr>
        <sz val="8"/>
        <color theme="1"/>
        <rFont val="Calibri"/>
        <family val="2"/>
        <scheme val="minor"/>
      </rPr>
      <t>M</t>
    </r>
  </si>
  <si>
    <t>A/V</t>
  </si>
  <si>
    <r>
      <t>I</t>
    </r>
    <r>
      <rPr>
        <sz val="8"/>
        <color theme="1"/>
        <rFont val="Calibri"/>
        <family val="2"/>
        <scheme val="minor"/>
      </rPr>
      <t>FB_</t>
    </r>
  </si>
  <si>
    <r>
      <t>G</t>
    </r>
    <r>
      <rPr>
        <sz val="8"/>
        <color theme="1"/>
        <rFont val="Calibri"/>
        <family val="2"/>
        <scheme val="minor"/>
      </rPr>
      <t>FB</t>
    </r>
  </si>
  <si>
    <t>R1 &lt;</t>
  </si>
  <si>
    <r>
      <t>R</t>
    </r>
    <r>
      <rPr>
        <sz val="8"/>
        <color theme="1"/>
        <rFont val="Calibri"/>
        <family val="2"/>
        <scheme val="minor"/>
      </rPr>
      <t>Z</t>
    </r>
  </si>
  <si>
    <r>
      <t>f</t>
    </r>
    <r>
      <rPr>
        <sz val="8"/>
        <color theme="1"/>
        <rFont val="Calibri"/>
        <family val="2"/>
        <scheme val="minor"/>
      </rPr>
      <t>P_LOAD</t>
    </r>
  </si>
  <si>
    <t>Cz</t>
  </si>
  <si>
    <r>
      <t>f</t>
    </r>
    <r>
      <rPr>
        <sz val="8"/>
        <color theme="1"/>
        <rFont val="Calibri"/>
        <family val="2"/>
        <scheme val="minor"/>
      </rPr>
      <t>P_EA</t>
    </r>
  </si>
  <si>
    <t>Soft-Start Cap</t>
  </si>
  <si>
    <r>
      <t>C</t>
    </r>
    <r>
      <rPr>
        <sz val="8"/>
        <color theme="1"/>
        <rFont val="Calibri"/>
        <family val="2"/>
        <scheme val="minor"/>
      </rPr>
      <t>F</t>
    </r>
  </si>
  <si>
    <t>Time</t>
  </si>
  <si>
    <r>
      <t>C</t>
    </r>
    <r>
      <rPr>
        <sz val="8"/>
        <color theme="1"/>
        <rFont val="Calibri"/>
        <family val="2"/>
        <scheme val="minor"/>
      </rPr>
      <t>SS</t>
    </r>
  </si>
  <si>
    <t>uF</t>
  </si>
  <si>
    <t>Bootstrap Capacitor</t>
  </si>
  <si>
    <t>Inductor Selection</t>
  </si>
  <si>
    <t>IHLP6767GZER5R6M11</t>
  </si>
  <si>
    <r>
      <rPr>
        <sz val="11"/>
        <color theme="1"/>
        <rFont val="Calibri"/>
        <family val="2"/>
        <scheme val="minor"/>
      </rPr>
      <t>∆Q</t>
    </r>
    <r>
      <rPr>
        <sz val="8"/>
        <color theme="1"/>
        <rFont val="Calibri"/>
        <family val="2"/>
        <scheme val="minor"/>
      </rPr>
      <t>Gate</t>
    </r>
  </si>
  <si>
    <r>
      <rPr>
        <sz val="11"/>
        <color theme="1"/>
        <rFont val="Calibri"/>
        <family val="2"/>
        <scheme val="minor"/>
      </rPr>
      <t>∆V</t>
    </r>
    <r>
      <rPr>
        <sz val="8"/>
        <color theme="1"/>
        <rFont val="Calibri"/>
        <family val="2"/>
        <scheme val="minor"/>
      </rPr>
      <t>BST</t>
    </r>
  </si>
  <si>
    <t>LIR</t>
  </si>
  <si>
    <t>Want Low ESR</t>
  </si>
  <si>
    <t>L</t>
  </si>
  <si>
    <t>H</t>
  </si>
  <si>
    <t>CBST</t>
  </si>
  <si>
    <t>L Selected</t>
  </si>
  <si>
    <t>Max Inductor Ripple Current</t>
  </si>
  <si>
    <t>MOSFET Selection</t>
  </si>
  <si>
    <t>BUK768R1-100E,118</t>
  </si>
  <si>
    <t>DCR</t>
  </si>
  <si>
    <r>
      <t>R</t>
    </r>
    <r>
      <rPr>
        <sz val="8"/>
        <color theme="1"/>
        <rFont val="Calibri"/>
        <family val="2"/>
        <scheme val="minor"/>
      </rPr>
      <t>DS</t>
    </r>
  </si>
  <si>
    <t>Max Inductor Peak Current</t>
  </si>
  <si>
    <r>
      <t>V</t>
    </r>
    <r>
      <rPr>
        <sz val="8"/>
        <color theme="1"/>
        <rFont val="Calibri"/>
        <family val="2"/>
        <scheme val="minor"/>
      </rPr>
      <t>DSMAX</t>
    </r>
  </si>
  <si>
    <t>ILIM Threshold</t>
  </si>
  <si>
    <r>
      <t>V</t>
    </r>
    <r>
      <rPr>
        <sz val="8"/>
        <color theme="1"/>
        <rFont val="Calibri"/>
        <family val="2"/>
        <scheme val="minor"/>
      </rPr>
      <t>MIL</t>
    </r>
  </si>
  <si>
    <t>Isat</t>
  </si>
  <si>
    <r>
      <t>Q</t>
    </r>
    <r>
      <rPr>
        <sz val="8"/>
        <color theme="1"/>
        <rFont val="Calibri"/>
        <family val="2"/>
        <scheme val="minor"/>
      </rPr>
      <t>GATE</t>
    </r>
  </si>
  <si>
    <t>ILIM Resistor</t>
  </si>
  <si>
    <t>Power Diss. Rating</t>
  </si>
  <si>
    <t>W (Tc)</t>
  </si>
  <si>
    <t>VCS Max</t>
  </si>
  <si>
    <t>Id</t>
  </si>
  <si>
    <t>A (Tc)</t>
  </si>
  <si>
    <t>IC Power Dissipation</t>
  </si>
  <si>
    <t>W</t>
  </si>
  <si>
    <t>Pmax</t>
  </si>
  <si>
    <r>
      <t>I</t>
    </r>
    <r>
      <rPr>
        <b/>
        <sz val="8"/>
        <color theme="1"/>
        <rFont val="Calibri"/>
        <family val="2"/>
        <scheme val="minor"/>
      </rPr>
      <t>IN</t>
    </r>
  </si>
  <si>
    <t>TA</t>
  </si>
  <si>
    <r>
      <rPr>
        <sz val="11"/>
        <color theme="1"/>
        <rFont val="Centaur"/>
        <family val="1"/>
      </rPr>
      <t>º</t>
    </r>
    <r>
      <rPr>
        <sz val="9.35"/>
        <color theme="1"/>
        <rFont val="Calibri"/>
        <family val="2"/>
      </rPr>
      <t>C</t>
    </r>
  </si>
  <si>
    <t>Rth</t>
  </si>
  <si>
    <r>
      <rPr>
        <sz val="11"/>
        <color theme="1"/>
        <rFont val="Centaur"/>
        <family val="1"/>
      </rPr>
      <t>º</t>
    </r>
    <r>
      <rPr>
        <sz val="9.35"/>
        <color theme="1"/>
        <rFont val="Calibri"/>
        <family val="2"/>
      </rPr>
      <t>C</t>
    </r>
    <r>
      <rPr>
        <sz val="11"/>
        <color theme="1"/>
        <rFont val="Calibri"/>
        <family val="1"/>
      </rPr>
      <t>/W</t>
    </r>
  </si>
  <si>
    <t>TJ</t>
  </si>
  <si>
    <t>Mosfet Power Dissipation</t>
  </si>
  <si>
    <r>
      <t>P</t>
    </r>
    <r>
      <rPr>
        <sz val="8"/>
        <color theme="1"/>
        <rFont val="Calibri"/>
        <family val="2"/>
        <scheme val="minor"/>
      </rPr>
      <t>HS_Conducting</t>
    </r>
  </si>
  <si>
    <t>Qrr</t>
  </si>
  <si>
    <r>
      <t>P</t>
    </r>
    <r>
      <rPr>
        <sz val="10"/>
        <color theme="1"/>
        <rFont val="Calibri"/>
        <family val="2"/>
        <scheme val="minor"/>
      </rPr>
      <t>HA_Switching</t>
    </r>
  </si>
  <si>
    <r>
      <t>R</t>
    </r>
    <r>
      <rPr>
        <sz val="8"/>
        <color theme="1"/>
        <rFont val="Calibri"/>
        <family val="2"/>
        <scheme val="minor"/>
      </rPr>
      <t>DR</t>
    </r>
  </si>
  <si>
    <r>
      <t>C</t>
    </r>
    <r>
      <rPr>
        <sz val="10"/>
        <color theme="1"/>
        <rFont val="Calibri"/>
        <family val="2"/>
        <scheme val="minor"/>
      </rPr>
      <t>OUT</t>
    </r>
  </si>
  <si>
    <t>Vth</t>
  </si>
  <si>
    <r>
      <t>P</t>
    </r>
    <r>
      <rPr>
        <sz val="8"/>
        <color theme="1"/>
        <rFont val="Calibri"/>
        <family val="2"/>
        <scheme val="minor"/>
      </rPr>
      <t>HS_Total</t>
    </r>
  </si>
  <si>
    <r>
      <t>t</t>
    </r>
    <r>
      <rPr>
        <sz val="8"/>
        <color theme="1"/>
        <rFont val="Calibri"/>
        <family val="2"/>
        <scheme val="minor"/>
      </rPr>
      <t>DT</t>
    </r>
  </si>
  <si>
    <r>
      <t>V</t>
    </r>
    <r>
      <rPr>
        <sz val="8"/>
        <color theme="1"/>
        <rFont val="Calibri"/>
        <family val="2"/>
        <scheme val="minor"/>
      </rPr>
      <t>D</t>
    </r>
  </si>
  <si>
    <t>S</t>
  </si>
  <si>
    <r>
      <t>PL</t>
    </r>
    <r>
      <rPr>
        <sz val="8"/>
        <color theme="1"/>
        <rFont val="Calibri"/>
        <family val="2"/>
        <scheme val="minor"/>
      </rPr>
      <t>S_Total</t>
    </r>
  </si>
  <si>
    <t>Single Mosfet Power Dissipation</t>
  </si>
  <si>
    <t>IC Power Dissipation - Single FET</t>
  </si>
  <si>
    <r>
      <t>R</t>
    </r>
    <r>
      <rPr>
        <b/>
        <sz val="8"/>
        <color theme="1"/>
        <rFont val="Calibri"/>
        <family val="2"/>
        <scheme val="minor"/>
      </rPr>
      <t>DS</t>
    </r>
  </si>
  <si>
    <r>
      <t>V</t>
    </r>
    <r>
      <rPr>
        <b/>
        <sz val="8"/>
        <color theme="1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 xml:space="preserve"> (Forward drop of body diode)</t>
    </r>
  </si>
  <si>
    <t>Qrr (reverser recovery charge)</t>
  </si>
  <si>
    <r>
      <t>C</t>
    </r>
    <r>
      <rPr>
        <b/>
        <sz val="10"/>
        <color theme="1"/>
        <rFont val="Calibri"/>
        <family val="2"/>
        <scheme val="minor"/>
      </rPr>
      <t>OUT</t>
    </r>
    <r>
      <rPr>
        <b/>
        <sz val="11"/>
        <color theme="1"/>
        <rFont val="Calibri"/>
        <family val="2"/>
        <scheme val="minor"/>
      </rPr>
      <t xml:space="preserve"> (output capacitance)</t>
    </r>
  </si>
  <si>
    <t>VMIL (Plateau voltage)</t>
  </si>
  <si>
    <r>
      <t>Q</t>
    </r>
    <r>
      <rPr>
        <b/>
        <sz val="8"/>
        <color theme="1"/>
        <rFont val="Calibri"/>
        <family val="2"/>
        <scheme val="minor"/>
      </rPr>
      <t>GATE</t>
    </r>
  </si>
  <si>
    <r>
      <t>P</t>
    </r>
    <r>
      <rPr>
        <sz val="10"/>
        <color theme="1"/>
        <rFont val="Calibri"/>
        <family val="2"/>
        <scheme val="minor"/>
      </rPr>
      <t>HS_Switching</t>
    </r>
  </si>
  <si>
    <t>Max. Min ON Time</t>
  </si>
  <si>
    <t>Common Mistakes</t>
  </si>
  <si>
    <r>
      <t>I</t>
    </r>
    <r>
      <rPr>
        <b/>
        <sz val="9"/>
        <color theme="1"/>
        <rFont val="Calibri"/>
        <family val="2"/>
        <scheme val="minor"/>
      </rPr>
      <t>START</t>
    </r>
  </si>
  <si>
    <t>Cout_actual</t>
  </si>
  <si>
    <t>ERR_actual</t>
  </si>
  <si>
    <t>Cin_actual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</si>
</sst>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entaur"/>
      <family val="1"/>
    </font>
    <font>
      <sz val="9.35"/>
      <color theme="1"/>
      <name val="Calibri"/>
      <family val="2"/>
    </font>
    <font>
      <sz val="11"/>
      <color theme="1"/>
      <name val="Calibri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2" xfId="0" applyFont="1" applyBorder="1"/>
    <xf numFmtId="0" fontId="0" fillId="0" borderId="8" xfId="0" applyBorder="1"/>
    <xf numFmtId="0" fontId="0" fillId="0" borderId="9" xfId="0" applyBorder="1"/>
    <xf numFmtId="11" fontId="0" fillId="0" borderId="0" xfId="0" applyNumberFormat="1"/>
    <xf numFmtId="11" fontId="0" fillId="0" borderId="9" xfId="0" applyNumberFormat="1" applyBorder="1"/>
    <xf numFmtId="0" fontId="5" fillId="0" borderId="1" xfId="0" applyFont="1" applyBorder="1"/>
    <xf numFmtId="0" fontId="1" fillId="2" borderId="1" xfId="0" applyFont="1" applyFill="1" applyBorder="1"/>
    <xf numFmtId="0" fontId="0" fillId="2" borderId="4" xfId="0" applyFill="1" applyBorder="1"/>
    <xf numFmtId="0" fontId="1" fillId="0" borderId="4" xfId="0" applyFont="1" applyBorder="1"/>
    <xf numFmtId="2" fontId="0" fillId="0" borderId="0" xfId="0" applyNumberFormat="1"/>
    <xf numFmtId="0" fontId="1" fillId="0" borderId="1" xfId="0" applyFont="1" applyFill="1" applyBorder="1"/>
    <xf numFmtId="0" fontId="0" fillId="0" borderId="10" xfId="0" applyBorder="1"/>
    <xf numFmtId="0" fontId="0" fillId="0" borderId="1" xfId="0" applyFill="1" applyBorder="1"/>
    <xf numFmtId="0" fontId="0" fillId="0" borderId="0" xfId="0" applyBorder="1"/>
    <xf numFmtId="11" fontId="0" fillId="0" borderId="0" xfId="0" applyNumberFormat="1" applyBorder="1"/>
    <xf numFmtId="2" fontId="0" fillId="0" borderId="0" xfId="0" applyNumberFormat="1" applyBorder="1"/>
    <xf numFmtId="0" fontId="0" fillId="0" borderId="4" xfId="0" applyFill="1" applyBorder="1"/>
    <xf numFmtId="0" fontId="8" fillId="0" borderId="5" xfId="0" applyFont="1" applyBorder="1"/>
    <xf numFmtId="0" fontId="0" fillId="0" borderId="6" xfId="0" applyFill="1" applyBorder="1"/>
    <xf numFmtId="2" fontId="0" fillId="0" borderId="9" xfId="0" applyNumberFormat="1" applyBorder="1"/>
    <xf numFmtId="0" fontId="8" fillId="0" borderId="7" xfId="0" applyFont="1" applyBorder="1"/>
    <xf numFmtId="0" fontId="1" fillId="0" borderId="2" xfId="0" applyFont="1" applyFill="1" applyBorder="1"/>
    <xf numFmtId="0" fontId="0" fillId="0" borderId="8" xfId="0" applyFill="1" applyBorder="1"/>
    <xf numFmtId="0" fontId="0" fillId="0" borderId="3" xfId="0" applyFill="1" applyBorder="1"/>
    <xf numFmtId="11" fontId="0" fillId="0" borderId="0" xfId="0" applyNumberFormat="1" applyFill="1"/>
    <xf numFmtId="0" fontId="0" fillId="0" borderId="5" xfId="0" applyFill="1" applyBorder="1"/>
    <xf numFmtId="0" fontId="0" fillId="0" borderId="0" xfId="0" applyFill="1"/>
    <xf numFmtId="0" fontId="1" fillId="0" borderId="4" xfId="0" applyFont="1" applyFill="1" applyBorder="1"/>
    <xf numFmtId="11" fontId="0" fillId="0" borderId="9" xfId="0" applyNumberFormat="1" applyFill="1" applyBorder="1"/>
    <xf numFmtId="0" fontId="0" fillId="0" borderId="7" xfId="0" applyFill="1" applyBorder="1"/>
    <xf numFmtId="0" fontId="0" fillId="0" borderId="9" xfId="0" applyFill="1" applyBorder="1"/>
    <xf numFmtId="0" fontId="1" fillId="0" borderId="6" xfId="0" applyFont="1" applyFill="1" applyBorder="1"/>
    <xf numFmtId="0" fontId="1" fillId="0" borderId="0" xfId="0" applyFont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AFFBA-24E2-406E-8276-30ADCBFA2DFA}">
  <dimension ref="B4:M55"/>
  <sheetViews>
    <sheetView topLeftCell="A7" zoomScale="85" zoomScaleNormal="85" workbookViewId="0">
      <selection activeCell="J49" sqref="J49"/>
    </sheetView>
  </sheetViews>
  <sheetFormatPr defaultRowHeight="14.4" x14ac:dyDescent="0.3"/>
  <cols>
    <col min="2" max="2" width="31.5546875" bestFit="1" customWidth="1"/>
    <col min="3" max="3" width="12" bestFit="1" customWidth="1"/>
    <col min="6" max="6" width="27" bestFit="1" customWidth="1"/>
    <col min="7" max="7" width="12" bestFit="1" customWidth="1"/>
    <col min="9" max="9" width="19.109375" bestFit="1" customWidth="1"/>
    <col min="10" max="10" width="14.6640625" bestFit="1" customWidth="1"/>
    <col min="11" max="11" width="8.88671875" customWidth="1"/>
    <col min="12" max="12" width="5.33203125" bestFit="1" customWidth="1"/>
  </cols>
  <sheetData>
    <row r="4" spans="2:12" x14ac:dyDescent="0.3">
      <c r="B4" s="8" t="s">
        <v>0</v>
      </c>
      <c r="C4" s="9"/>
      <c r="D4" s="3"/>
      <c r="F4" s="8" t="s">
        <v>1</v>
      </c>
      <c r="G4" s="9"/>
      <c r="H4" s="3"/>
    </row>
    <row r="5" spans="2:12" x14ac:dyDescent="0.3">
      <c r="B5" s="6" t="s">
        <v>2</v>
      </c>
      <c r="C5" s="10">
        <v>33200</v>
      </c>
      <c r="D5" s="7" t="s">
        <v>3</v>
      </c>
      <c r="F5" s="4" t="s">
        <v>4</v>
      </c>
      <c r="G5" s="11">
        <f>C8/(K13+(C42/2))</f>
        <v>3.3708472897415508E-3</v>
      </c>
      <c r="H5" s="5" t="s">
        <v>3</v>
      </c>
    </row>
    <row r="6" spans="2:12" x14ac:dyDescent="0.3">
      <c r="F6" s="4" t="s">
        <v>5</v>
      </c>
      <c r="G6" s="11">
        <f>(K11*(1-(K11/K9)))/(C41*K17)</f>
        <v>5.3854162926794231</v>
      </c>
      <c r="H6" s="5" t="s">
        <v>6</v>
      </c>
    </row>
    <row r="7" spans="2:12" x14ac:dyDescent="0.3">
      <c r="B7" s="8" t="s">
        <v>7</v>
      </c>
      <c r="C7" s="9"/>
      <c r="D7" s="3"/>
      <c r="F7" s="4" t="s">
        <v>8</v>
      </c>
      <c r="G7" s="11">
        <f>G6*G5</f>
        <v>1.8153415914308423E-2</v>
      </c>
      <c r="H7" s="5" t="s">
        <v>9</v>
      </c>
    </row>
    <row r="8" spans="2:12" ht="15.6" x14ac:dyDescent="0.3">
      <c r="B8" s="4" t="s">
        <v>10</v>
      </c>
      <c r="C8">
        <v>7.4999999999999997E-2</v>
      </c>
      <c r="D8" s="5" t="s">
        <v>9</v>
      </c>
      <c r="F8" s="6" t="s">
        <v>11</v>
      </c>
      <c r="G8" s="10">
        <f>G5*(K13+(C42/2))</f>
        <v>7.4999999999999997E-2</v>
      </c>
      <c r="H8" s="7" t="s">
        <v>9</v>
      </c>
      <c r="J8" s="13" t="s">
        <v>12</v>
      </c>
      <c r="K8" s="13" t="s">
        <v>13</v>
      </c>
      <c r="L8" s="13" t="s">
        <v>14</v>
      </c>
    </row>
    <row r="9" spans="2:12" x14ac:dyDescent="0.3">
      <c r="B9" s="4" t="s">
        <v>15</v>
      </c>
      <c r="C9">
        <v>5.0000000000000004E-6</v>
      </c>
      <c r="D9" s="5" t="s">
        <v>6</v>
      </c>
      <c r="J9" s="1" t="s">
        <v>16</v>
      </c>
      <c r="K9" s="2">
        <v>30</v>
      </c>
      <c r="L9" s="2" t="s">
        <v>9</v>
      </c>
    </row>
    <row r="10" spans="2:12" x14ac:dyDescent="0.3">
      <c r="B10" s="6" t="s">
        <v>17</v>
      </c>
      <c r="C10" s="10">
        <f>C8/(C9*50)</f>
        <v>300</v>
      </c>
      <c r="D10" s="7" t="s">
        <v>18</v>
      </c>
      <c r="F10" s="8" t="s">
        <v>19</v>
      </c>
      <c r="G10" s="9"/>
      <c r="H10" s="3"/>
      <c r="J10" s="1" t="s">
        <v>20</v>
      </c>
      <c r="K10" s="2">
        <v>52</v>
      </c>
      <c r="L10" s="2" t="s">
        <v>9</v>
      </c>
    </row>
    <row r="11" spans="2:12" x14ac:dyDescent="0.3">
      <c r="F11" s="4" t="s">
        <v>21</v>
      </c>
      <c r="G11">
        <v>0.9</v>
      </c>
      <c r="H11" s="5" t="s">
        <v>22</v>
      </c>
      <c r="J11" s="1" t="s">
        <v>23</v>
      </c>
      <c r="K11" s="2">
        <v>24</v>
      </c>
      <c r="L11" s="2" t="s">
        <v>9</v>
      </c>
    </row>
    <row r="12" spans="2:12" x14ac:dyDescent="0.3">
      <c r="B12" s="8" t="s">
        <v>24</v>
      </c>
      <c r="C12" s="9"/>
      <c r="D12" s="3"/>
      <c r="F12" s="4" t="s">
        <v>25</v>
      </c>
      <c r="G12">
        <v>0.3</v>
      </c>
      <c r="H12" s="5" t="s">
        <v>9</v>
      </c>
      <c r="J12" s="1" t="s">
        <v>26</v>
      </c>
      <c r="K12" s="2">
        <v>30</v>
      </c>
      <c r="L12" s="2" t="s">
        <v>6</v>
      </c>
    </row>
    <row r="13" spans="2:12" x14ac:dyDescent="0.3">
      <c r="B13" s="4" t="s">
        <v>27</v>
      </c>
      <c r="C13" s="11">
        <v>1.1999999999999999E-7</v>
      </c>
      <c r="D13" s="5" t="s">
        <v>28</v>
      </c>
      <c r="F13" s="6" t="s">
        <v>29</v>
      </c>
      <c r="G13" s="10">
        <f>(K12*C38*(1-C38))/(G11*G12*K17)</f>
        <v>1.6944002612964541E-4</v>
      </c>
      <c r="H13" s="7" t="s">
        <v>30</v>
      </c>
      <c r="J13" s="1" t="s">
        <v>31</v>
      </c>
      <c r="K13" s="2">
        <f>K12/2</f>
        <v>15</v>
      </c>
      <c r="L13" s="2" t="s">
        <v>6</v>
      </c>
    </row>
    <row r="14" spans="2:12" x14ac:dyDescent="0.3">
      <c r="B14" s="4" t="s">
        <v>32</v>
      </c>
      <c r="C14" s="11">
        <v>1.55E-7</v>
      </c>
      <c r="D14" s="5" t="s">
        <v>28</v>
      </c>
      <c r="J14" s="1" t="s">
        <v>33</v>
      </c>
      <c r="K14" s="2">
        <f>C38</f>
        <v>0.58536585365853655</v>
      </c>
      <c r="L14" s="2"/>
    </row>
    <row r="15" spans="2:12" x14ac:dyDescent="0.3">
      <c r="B15" s="4" t="s">
        <v>34</v>
      </c>
      <c r="C15" s="11">
        <f>K18</f>
        <v>750000</v>
      </c>
      <c r="D15" s="5" t="s">
        <v>35</v>
      </c>
      <c r="F15" s="8" t="s">
        <v>36</v>
      </c>
      <c r="G15" s="9"/>
      <c r="H15" s="3"/>
      <c r="J15" s="1" t="s">
        <v>37</v>
      </c>
      <c r="K15" s="2">
        <f>G43</f>
        <v>8.0999999999999996E-3</v>
      </c>
      <c r="L15" s="2" t="s">
        <v>3</v>
      </c>
    </row>
    <row r="16" spans="2:12" x14ac:dyDescent="0.3">
      <c r="B16" s="4" t="s">
        <v>38</v>
      </c>
      <c r="C16">
        <f>((K11+K12*(K15+C43))/(1-C15*C13))+(K12*K15*K16)</f>
        <v>26.789001267032969</v>
      </c>
      <c r="D16" s="5" t="s">
        <v>9</v>
      </c>
      <c r="F16" s="4" t="s">
        <v>39</v>
      </c>
      <c r="G16">
        <v>2.5000000000000001E-2</v>
      </c>
      <c r="H16" s="5" t="s">
        <v>9</v>
      </c>
      <c r="J16" s="1" t="s">
        <v>40</v>
      </c>
      <c r="K16" s="2">
        <f>G43</f>
        <v>8.0999999999999996E-3</v>
      </c>
      <c r="L16" s="2" t="s">
        <v>3</v>
      </c>
    </row>
    <row r="17" spans="2:12" x14ac:dyDescent="0.3">
      <c r="B17" s="6" t="s">
        <v>41</v>
      </c>
      <c r="C17" s="10">
        <f>K11/(K18*C14)</f>
        <v>206.45161290322582</v>
      </c>
      <c r="D17" s="7" t="s">
        <v>9</v>
      </c>
      <c r="F17" s="4" t="s">
        <v>42</v>
      </c>
      <c r="G17">
        <f>G16-G18</f>
        <v>1.2500000000000001E-2</v>
      </c>
      <c r="H17" s="5" t="s">
        <v>9</v>
      </c>
      <c r="J17" s="14" t="s">
        <v>43</v>
      </c>
      <c r="K17" s="2">
        <f>C5*8.8-133000</f>
        <v>159160</v>
      </c>
      <c r="L17" s="2" t="s">
        <v>35</v>
      </c>
    </row>
    <row r="18" spans="2:12" x14ac:dyDescent="0.3">
      <c r="F18" s="4" t="s">
        <v>44</v>
      </c>
      <c r="G18">
        <f>G16*0.5</f>
        <v>1.2500000000000001E-2</v>
      </c>
      <c r="H18" s="5" t="s">
        <v>9</v>
      </c>
      <c r="J18" s="14" t="s">
        <v>45</v>
      </c>
      <c r="K18" s="2">
        <v>750000</v>
      </c>
      <c r="L18" s="2" t="s">
        <v>35</v>
      </c>
    </row>
    <row r="19" spans="2:12" x14ac:dyDescent="0.3">
      <c r="B19" s="8" t="s">
        <v>46</v>
      </c>
      <c r="C19" s="9"/>
      <c r="D19" s="3"/>
      <c r="F19" s="4" t="s">
        <v>47</v>
      </c>
      <c r="G19" s="11">
        <f>G17/C42</f>
        <v>8.6211666666666665E-4</v>
      </c>
      <c r="H19" s="5" t="s">
        <v>48</v>
      </c>
      <c r="J19" s="18" t="s">
        <v>107</v>
      </c>
      <c r="K19" s="19">
        <v>3.5000000000000001E-3</v>
      </c>
      <c r="L19" s="20" t="s">
        <v>6</v>
      </c>
    </row>
    <row r="20" spans="2:12" x14ac:dyDescent="0.3">
      <c r="B20" s="4" t="s">
        <v>49</v>
      </c>
      <c r="D20" s="5"/>
      <c r="F20" s="6" t="s">
        <v>50</v>
      </c>
      <c r="G20" s="12">
        <f>C42/(8*K17*G18)</f>
        <v>9.1098251514576455E-4</v>
      </c>
      <c r="H20" s="7" t="s">
        <v>51</v>
      </c>
    </row>
    <row r="21" spans="2:12" x14ac:dyDescent="0.3">
      <c r="B21" s="4" t="s">
        <v>52</v>
      </c>
      <c r="C21">
        <v>25</v>
      </c>
      <c r="D21" s="5" t="s">
        <v>9</v>
      </c>
    </row>
    <row r="22" spans="2:12" x14ac:dyDescent="0.3">
      <c r="B22" s="4" t="s">
        <v>53</v>
      </c>
      <c r="C22">
        <f>(C21-1.25)/1.25*C23</f>
        <v>190000</v>
      </c>
      <c r="D22" s="5" t="s">
        <v>3</v>
      </c>
      <c r="F22" s="8" t="s">
        <v>54</v>
      </c>
      <c r="G22" s="9"/>
      <c r="H22" s="3"/>
    </row>
    <row r="23" spans="2:12" x14ac:dyDescent="0.3">
      <c r="B23" s="6" t="s">
        <v>55</v>
      </c>
      <c r="C23" s="10">
        <v>10000</v>
      </c>
      <c r="D23" s="7" t="s">
        <v>3</v>
      </c>
      <c r="F23" s="4" t="s">
        <v>56</v>
      </c>
      <c r="G23">
        <f>K17/15</f>
        <v>10610.666666666666</v>
      </c>
      <c r="H23" s="5" t="s">
        <v>35</v>
      </c>
    </row>
    <row r="24" spans="2:12" x14ac:dyDescent="0.3">
      <c r="F24" s="4" t="s">
        <v>50</v>
      </c>
      <c r="G24">
        <f>G20</f>
        <v>9.1098251514576455E-4</v>
      </c>
      <c r="H24" s="5" t="s">
        <v>51</v>
      </c>
    </row>
    <row r="25" spans="2:12" x14ac:dyDescent="0.3">
      <c r="B25" s="8" t="s">
        <v>57</v>
      </c>
      <c r="C25" s="9"/>
      <c r="D25" s="3"/>
      <c r="F25" s="4" t="s">
        <v>58</v>
      </c>
      <c r="G25">
        <v>13.3</v>
      </c>
      <c r="H25" s="5" t="s">
        <v>59</v>
      </c>
    </row>
    <row r="26" spans="2:12" x14ac:dyDescent="0.3">
      <c r="B26" s="4" t="s">
        <v>60</v>
      </c>
      <c r="D26" s="5"/>
      <c r="F26" s="4" t="s">
        <v>4</v>
      </c>
      <c r="G26">
        <v>5.0000000000000001E-3</v>
      </c>
      <c r="H26" s="5" t="s">
        <v>3</v>
      </c>
    </row>
    <row r="27" spans="2:12" x14ac:dyDescent="0.3">
      <c r="B27" s="4" t="s">
        <v>61</v>
      </c>
      <c r="C27">
        <f>0.001*K11</f>
        <v>2.4E-2</v>
      </c>
      <c r="D27" s="5"/>
      <c r="F27" s="4" t="s">
        <v>62</v>
      </c>
      <c r="G27">
        <v>2E-3</v>
      </c>
      <c r="H27" s="5" t="s">
        <v>63</v>
      </c>
    </row>
    <row r="28" spans="2:12" x14ac:dyDescent="0.3">
      <c r="B28" s="4" t="s">
        <v>64</v>
      </c>
      <c r="C28" s="11">
        <v>9.9999999999999995E-8</v>
      </c>
      <c r="D28" s="5" t="s">
        <v>6</v>
      </c>
      <c r="F28" s="4" t="s">
        <v>65</v>
      </c>
      <c r="G28">
        <f>0.8/K11</f>
        <v>3.3333333333333333E-2</v>
      </c>
      <c r="H28" s="5" t="s">
        <v>59</v>
      </c>
    </row>
    <row r="29" spans="2:12" x14ac:dyDescent="0.3">
      <c r="B29" s="4" t="s">
        <v>66</v>
      </c>
      <c r="C29">
        <f>C27/C28</f>
        <v>240000.00000000003</v>
      </c>
      <c r="D29" s="5" t="s">
        <v>3</v>
      </c>
      <c r="F29" s="4" t="s">
        <v>67</v>
      </c>
      <c r="G29">
        <f>(2*PI()*G23*G24*G25*G26)/(G27*G28)</f>
        <v>60582.262105975962</v>
      </c>
      <c r="H29" s="5" t="s">
        <v>3</v>
      </c>
    </row>
    <row r="30" spans="2:12" x14ac:dyDescent="0.3">
      <c r="B30" s="4" t="s">
        <v>53</v>
      </c>
      <c r="C30">
        <v>187000</v>
      </c>
      <c r="D30" s="5" t="s">
        <v>3</v>
      </c>
      <c r="F30" s="4" t="s">
        <v>68</v>
      </c>
      <c r="G30">
        <f>1/(2*PI()*G24*(K11/K13))</f>
        <v>109.19182067563426</v>
      </c>
      <c r="H30" s="5" t="s">
        <v>35</v>
      </c>
    </row>
    <row r="31" spans="2:12" x14ac:dyDescent="0.3">
      <c r="B31" s="6" t="s">
        <v>55</v>
      </c>
      <c r="C31" s="10">
        <f>C30/((K11/0.8)-1)</f>
        <v>6448.2758620689656</v>
      </c>
      <c r="D31" s="7" t="s">
        <v>3</v>
      </c>
      <c r="F31" s="4" t="s">
        <v>69</v>
      </c>
      <c r="G31">
        <f>1/(2*PI()*G30*G29)</f>
        <v>2.4059385925264832E-8</v>
      </c>
      <c r="H31" s="5" t="s">
        <v>51</v>
      </c>
    </row>
    <row r="32" spans="2:12" x14ac:dyDescent="0.3">
      <c r="F32" s="4" t="s">
        <v>70</v>
      </c>
      <c r="G32">
        <f>K17/2</f>
        <v>79580</v>
      </c>
      <c r="H32" s="5" t="s">
        <v>35</v>
      </c>
    </row>
    <row r="33" spans="2:13" x14ac:dyDescent="0.3">
      <c r="B33" s="8" t="s">
        <v>71</v>
      </c>
      <c r="C33" s="9"/>
      <c r="D33" s="3"/>
      <c r="F33" s="6" t="s">
        <v>72</v>
      </c>
      <c r="G33" s="10">
        <f>1/(2*PI()*G29*G32)</f>
        <v>3.3011914469934616E-11</v>
      </c>
      <c r="H33" s="7" t="s">
        <v>51</v>
      </c>
      <c r="M33" s="11"/>
    </row>
    <row r="34" spans="2:13" x14ac:dyDescent="0.3">
      <c r="B34" s="4" t="s">
        <v>73</v>
      </c>
      <c r="C34">
        <v>1E-3</v>
      </c>
      <c r="D34" s="5" t="s">
        <v>28</v>
      </c>
      <c r="J34" s="11"/>
      <c r="M34" s="11"/>
    </row>
    <row r="35" spans="2:13" x14ac:dyDescent="0.3">
      <c r="B35" s="6" t="s">
        <v>74</v>
      </c>
      <c r="C35" s="10">
        <f>C34*5/0.8</f>
        <v>6.2499999999999995E-3</v>
      </c>
      <c r="D35" s="7" t="s">
        <v>75</v>
      </c>
      <c r="J35" s="11"/>
    </row>
    <row r="36" spans="2:13" x14ac:dyDescent="0.3">
      <c r="F36" s="8" t="s">
        <v>76</v>
      </c>
      <c r="G36" s="9"/>
      <c r="H36" s="3"/>
      <c r="M36" s="11"/>
    </row>
    <row r="37" spans="2:13" x14ac:dyDescent="0.3">
      <c r="B37" s="8" t="s">
        <v>77</v>
      </c>
      <c r="C37" s="9" t="s">
        <v>78</v>
      </c>
      <c r="D37" s="3"/>
      <c r="F37" s="4" t="s">
        <v>79</v>
      </c>
      <c r="G37" s="11">
        <f>G46</f>
        <v>1.08E-7</v>
      </c>
      <c r="H37" s="5" t="s">
        <v>30</v>
      </c>
      <c r="J37" s="11"/>
    </row>
    <row r="38" spans="2:13" x14ac:dyDescent="0.3">
      <c r="B38" s="4" t="s">
        <v>33</v>
      </c>
      <c r="C38" s="21">
        <f>K11/((K9+K10)/2)</f>
        <v>0.58536585365853655</v>
      </c>
      <c r="D38" s="5"/>
      <c r="F38" s="15" t="s">
        <v>80</v>
      </c>
      <c r="G38">
        <v>0.125</v>
      </c>
      <c r="H38" s="5" t="s">
        <v>9</v>
      </c>
    </row>
    <row r="39" spans="2:13" x14ac:dyDescent="0.3">
      <c r="B39" s="4" t="s">
        <v>81</v>
      </c>
      <c r="C39" s="21">
        <v>0.24</v>
      </c>
      <c r="D39" s="5"/>
      <c r="F39" s="16" t="s">
        <v>82</v>
      </c>
      <c r="H39" s="5"/>
    </row>
    <row r="40" spans="2:13" x14ac:dyDescent="0.3">
      <c r="B40" s="4" t="s">
        <v>83</v>
      </c>
      <c r="C40" s="21">
        <f>(K11*(1-C38))/(C39*K13*K17)</f>
        <v>1.7367602678288661E-5</v>
      </c>
      <c r="D40" s="5" t="s">
        <v>84</v>
      </c>
      <c r="F40" s="6" t="s">
        <v>85</v>
      </c>
      <c r="G40" s="12">
        <f>G37/G38</f>
        <v>8.6400000000000001E-7</v>
      </c>
      <c r="H40" s="7" t="s">
        <v>51</v>
      </c>
    </row>
    <row r="41" spans="2:13" x14ac:dyDescent="0.3">
      <c r="B41" s="4" t="s">
        <v>86</v>
      </c>
      <c r="C41" s="22">
        <v>5.5999999999999997E-6</v>
      </c>
      <c r="D41" s="5" t="s">
        <v>84</v>
      </c>
    </row>
    <row r="42" spans="2:13" x14ac:dyDescent="0.3">
      <c r="B42" s="4" t="s">
        <v>87</v>
      </c>
      <c r="C42" s="22">
        <f>(K11*(1-K11/K10))/(C41*K17)</f>
        <v>14.499197711059988</v>
      </c>
      <c r="D42" s="5" t="s">
        <v>6</v>
      </c>
      <c r="F42" s="8" t="s">
        <v>88</v>
      </c>
      <c r="G42" s="9" t="s">
        <v>89</v>
      </c>
      <c r="H42" s="3"/>
    </row>
    <row r="43" spans="2:13" x14ac:dyDescent="0.3">
      <c r="B43" s="4" t="s">
        <v>90</v>
      </c>
      <c r="C43" s="21">
        <v>4.4400000000000004E-3</v>
      </c>
      <c r="D43" s="5" t="s">
        <v>3</v>
      </c>
      <c r="F43" s="4" t="s">
        <v>91</v>
      </c>
      <c r="G43">
        <v>8.0999999999999996E-3</v>
      </c>
      <c r="H43" s="5" t="s">
        <v>3</v>
      </c>
    </row>
    <row r="44" spans="2:13" x14ac:dyDescent="0.3">
      <c r="B44" s="4" t="s">
        <v>92</v>
      </c>
      <c r="C44" s="22">
        <f>K13+C42</f>
        <v>29.499197711059988</v>
      </c>
      <c r="D44" s="5" t="s">
        <v>6</v>
      </c>
      <c r="F44" s="4" t="s">
        <v>93</v>
      </c>
      <c r="G44">
        <v>100</v>
      </c>
      <c r="H44" s="5" t="s">
        <v>9</v>
      </c>
    </row>
    <row r="45" spans="2:13" x14ac:dyDescent="0.3">
      <c r="B45" s="4" t="s">
        <v>94</v>
      </c>
      <c r="C45" s="22">
        <f>(K13+(C42/2))*0.005</f>
        <v>0.11124799427764998</v>
      </c>
      <c r="D45" s="5"/>
      <c r="F45" s="4" t="s">
        <v>95</v>
      </c>
      <c r="G45">
        <v>4.8</v>
      </c>
      <c r="H45" s="5" t="s">
        <v>9</v>
      </c>
    </row>
    <row r="46" spans="2:13" x14ac:dyDescent="0.3">
      <c r="B46" s="4" t="s">
        <v>96</v>
      </c>
      <c r="C46" s="21">
        <v>21</v>
      </c>
      <c r="D46" s="5" t="s">
        <v>6</v>
      </c>
      <c r="F46" s="4" t="s">
        <v>97</v>
      </c>
      <c r="G46" s="11">
        <v>1.08E-7</v>
      </c>
      <c r="H46" s="5" t="s">
        <v>30</v>
      </c>
    </row>
    <row r="47" spans="2:13" x14ac:dyDescent="0.3">
      <c r="B47" s="4" t="s">
        <v>98</v>
      </c>
      <c r="C47" s="23">
        <f>C45/(50*C9)</f>
        <v>444.99197711059992</v>
      </c>
      <c r="D47" s="5"/>
      <c r="F47" s="4" t="s">
        <v>99</v>
      </c>
      <c r="G47">
        <v>263</v>
      </c>
      <c r="H47" s="5" t="s">
        <v>100</v>
      </c>
    </row>
    <row r="48" spans="2:13" x14ac:dyDescent="0.3">
      <c r="B48" s="6" t="s">
        <v>101</v>
      </c>
      <c r="C48" s="12">
        <f>0.005*(15+(C42/2))</f>
        <v>0.11124799427764998</v>
      </c>
      <c r="D48" s="7"/>
      <c r="F48" s="6" t="s">
        <v>102</v>
      </c>
      <c r="G48" s="10">
        <v>100</v>
      </c>
      <c r="H48" s="7" t="s">
        <v>103</v>
      </c>
    </row>
    <row r="50" spans="6:8" x14ac:dyDescent="0.3">
      <c r="G50" s="11"/>
    </row>
    <row r="51" spans="6:8" x14ac:dyDescent="0.3">
      <c r="F51" s="8" t="s">
        <v>104</v>
      </c>
      <c r="G51" s="9"/>
      <c r="H51" s="3"/>
    </row>
    <row r="52" spans="6:8" x14ac:dyDescent="0.3">
      <c r="F52" s="4" t="s">
        <v>106</v>
      </c>
      <c r="G52" s="23">
        <f>K10*((G37*4*K17)+K19)</f>
        <v>3.7573702400000002</v>
      </c>
      <c r="H52" s="5" t="s">
        <v>105</v>
      </c>
    </row>
    <row r="53" spans="6:8" x14ac:dyDescent="0.3">
      <c r="F53" s="24" t="s">
        <v>108</v>
      </c>
      <c r="G53" s="23">
        <v>40</v>
      </c>
      <c r="H53" s="25" t="s">
        <v>109</v>
      </c>
    </row>
    <row r="54" spans="6:8" x14ac:dyDescent="0.3">
      <c r="F54" s="24" t="s">
        <v>110</v>
      </c>
      <c r="G54" s="23">
        <v>29</v>
      </c>
      <c r="H54" s="25" t="s">
        <v>111</v>
      </c>
    </row>
    <row r="55" spans="6:8" x14ac:dyDescent="0.3">
      <c r="F55" s="26" t="s">
        <v>112</v>
      </c>
      <c r="G55" s="27">
        <f>(G52*G54)+G53</f>
        <v>148.96373696000001</v>
      </c>
      <c r="H55" s="28" t="s">
        <v>109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006E-1CEB-49A4-90C3-274359D51C21}">
  <dimension ref="B4:M69"/>
  <sheetViews>
    <sheetView topLeftCell="A22" zoomScale="85" zoomScaleNormal="85" workbookViewId="0">
      <selection activeCell="K66" sqref="K66"/>
    </sheetView>
  </sheetViews>
  <sheetFormatPr defaultRowHeight="14.4" x14ac:dyDescent="0.3"/>
  <cols>
    <col min="2" max="2" width="31.5546875" bestFit="1" customWidth="1"/>
    <col min="3" max="3" width="12" bestFit="1" customWidth="1"/>
    <col min="6" max="6" width="30.44140625" bestFit="1" customWidth="1"/>
    <col min="7" max="7" width="18.44140625" bestFit="1" customWidth="1"/>
    <col min="9" max="9" width="19.109375" bestFit="1" customWidth="1"/>
    <col min="10" max="10" width="14.6640625" bestFit="1" customWidth="1"/>
    <col min="11" max="11" width="8.88671875" customWidth="1"/>
    <col min="12" max="12" width="5.33203125" bestFit="1" customWidth="1"/>
  </cols>
  <sheetData>
    <row r="4" spans="2:12" x14ac:dyDescent="0.3">
      <c r="B4" s="8" t="s">
        <v>0</v>
      </c>
      <c r="C4" s="9"/>
      <c r="D4" s="3"/>
      <c r="F4" s="8" t="s">
        <v>1</v>
      </c>
      <c r="G4" s="9"/>
      <c r="H4" s="3"/>
    </row>
    <row r="5" spans="2:12" x14ac:dyDescent="0.3">
      <c r="B5" s="6" t="s">
        <v>2</v>
      </c>
      <c r="C5" s="10">
        <f>56200</f>
        <v>56200</v>
      </c>
      <c r="D5" s="7" t="s">
        <v>3</v>
      </c>
      <c r="F5" s="4" t="s">
        <v>4</v>
      </c>
      <c r="G5" s="11">
        <f>C8/(K13+(C42/2))</f>
        <v>4.1228501056088471E-3</v>
      </c>
      <c r="H5" s="5" t="s">
        <v>3</v>
      </c>
    </row>
    <row r="6" spans="2:12" x14ac:dyDescent="0.3">
      <c r="F6" s="4" t="s">
        <v>5</v>
      </c>
      <c r="G6" s="11">
        <f>(K11*(1-(K11/K9)))/(C41*K17)</f>
        <v>2.3706794367265651</v>
      </c>
      <c r="H6" s="5" t="s">
        <v>6</v>
      </c>
    </row>
    <row r="7" spans="2:12" x14ac:dyDescent="0.3">
      <c r="B7" s="8" t="s">
        <v>7</v>
      </c>
      <c r="C7" s="9"/>
      <c r="D7" s="3"/>
      <c r="F7" s="4" t="s">
        <v>8</v>
      </c>
      <c r="G7" s="11">
        <f>G6*G5</f>
        <v>9.7739559660728406E-3</v>
      </c>
      <c r="H7" s="5" t="s">
        <v>9</v>
      </c>
    </row>
    <row r="8" spans="2:12" ht="15.6" x14ac:dyDescent="0.3">
      <c r="B8" s="4" t="s">
        <v>10</v>
      </c>
      <c r="C8">
        <v>7.4999999999999997E-2</v>
      </c>
      <c r="D8" s="5" t="s">
        <v>9</v>
      </c>
      <c r="F8" s="6" t="s">
        <v>11</v>
      </c>
      <c r="G8" s="10">
        <f>G5*(K13+(C42/2))</f>
        <v>7.4999999999999997E-2</v>
      </c>
      <c r="H8" s="7" t="s">
        <v>9</v>
      </c>
      <c r="J8" s="13" t="s">
        <v>12</v>
      </c>
      <c r="K8" s="13" t="s">
        <v>13</v>
      </c>
      <c r="L8" s="13" t="s">
        <v>14</v>
      </c>
    </row>
    <row r="9" spans="2:12" x14ac:dyDescent="0.3">
      <c r="B9" s="4" t="s">
        <v>15</v>
      </c>
      <c r="C9">
        <v>5.0000000000000004E-6</v>
      </c>
      <c r="D9" s="5" t="s">
        <v>6</v>
      </c>
      <c r="J9" s="1" t="s">
        <v>16</v>
      </c>
      <c r="K9" s="2">
        <v>30</v>
      </c>
      <c r="L9" s="2" t="s">
        <v>9</v>
      </c>
    </row>
    <row r="10" spans="2:12" x14ac:dyDescent="0.3">
      <c r="B10" s="6" t="s">
        <v>17</v>
      </c>
      <c r="C10" s="10">
        <f>C8/(C9*50)</f>
        <v>300</v>
      </c>
      <c r="D10" s="7" t="s">
        <v>18</v>
      </c>
      <c r="F10" s="8" t="s">
        <v>19</v>
      </c>
      <c r="G10" s="9"/>
      <c r="H10" s="3"/>
      <c r="J10" s="1" t="s">
        <v>20</v>
      </c>
      <c r="K10" s="2">
        <v>52</v>
      </c>
      <c r="L10" s="2" t="s">
        <v>9</v>
      </c>
    </row>
    <row r="11" spans="2:12" x14ac:dyDescent="0.3">
      <c r="F11" s="4" t="s">
        <v>21</v>
      </c>
      <c r="G11">
        <v>0.9</v>
      </c>
      <c r="H11" s="5" t="s">
        <v>22</v>
      </c>
      <c r="J11" s="1" t="s">
        <v>23</v>
      </c>
      <c r="K11" s="2">
        <v>24</v>
      </c>
      <c r="L11" s="2" t="s">
        <v>9</v>
      </c>
    </row>
    <row r="12" spans="2:12" x14ac:dyDescent="0.3">
      <c r="B12" s="8" t="s">
        <v>24</v>
      </c>
      <c r="C12" s="9"/>
      <c r="D12" s="3"/>
      <c r="F12" s="4" t="s">
        <v>25</v>
      </c>
      <c r="G12">
        <v>0.3</v>
      </c>
      <c r="H12" s="5" t="s">
        <v>9</v>
      </c>
      <c r="J12" s="1" t="s">
        <v>26</v>
      </c>
      <c r="K12" s="2">
        <v>30</v>
      </c>
      <c r="L12" s="2" t="s">
        <v>6</v>
      </c>
    </row>
    <row r="13" spans="2:12" x14ac:dyDescent="0.3">
      <c r="B13" s="4" t="s">
        <v>27</v>
      </c>
      <c r="C13" s="11">
        <v>1.1999999999999999E-7</v>
      </c>
      <c r="D13" s="5" t="s">
        <v>28</v>
      </c>
      <c r="F13" s="6" t="s">
        <v>29</v>
      </c>
      <c r="G13" s="10">
        <f>(K12*C38*(1-C38))/(G11*G12*K17)</f>
        <v>7.4588103105416415E-5</v>
      </c>
      <c r="H13" s="7" t="s">
        <v>30</v>
      </c>
      <c r="J13" s="1" t="s">
        <v>31</v>
      </c>
      <c r="K13" s="2">
        <f>K12/2</f>
        <v>15</v>
      </c>
      <c r="L13" s="2" t="s">
        <v>6</v>
      </c>
    </row>
    <row r="14" spans="2:12" x14ac:dyDescent="0.3">
      <c r="B14" s="4" t="s">
        <v>32</v>
      </c>
      <c r="C14" s="11">
        <v>1.55E-7</v>
      </c>
      <c r="D14" s="5" t="s">
        <v>28</v>
      </c>
      <c r="J14" s="1" t="s">
        <v>33</v>
      </c>
      <c r="K14" s="2">
        <f>C38</f>
        <v>0.58536585365853655</v>
      </c>
      <c r="L14" s="2"/>
    </row>
    <row r="15" spans="2:12" x14ac:dyDescent="0.3">
      <c r="B15" s="4" t="s">
        <v>34</v>
      </c>
      <c r="C15" s="11">
        <f>K18</f>
        <v>750000</v>
      </c>
      <c r="D15" s="5" t="s">
        <v>35</v>
      </c>
      <c r="F15" s="8" t="s">
        <v>36</v>
      </c>
      <c r="G15" s="9"/>
      <c r="H15" s="3"/>
      <c r="J15" s="1" t="s">
        <v>37</v>
      </c>
      <c r="K15" s="2">
        <f>G45</f>
        <v>7.3000000000000001E-3</v>
      </c>
      <c r="L15" s="2" t="s">
        <v>3</v>
      </c>
    </row>
    <row r="16" spans="2:12" x14ac:dyDescent="0.3">
      <c r="B16" s="4" t="s">
        <v>38</v>
      </c>
      <c r="C16">
        <f>((K11+K12*(K15+C43))/(1-C15*C13))+(K12*K15*K16)</f>
        <v>26.76225804065934</v>
      </c>
      <c r="D16" s="5" t="s">
        <v>9</v>
      </c>
      <c r="F16" s="4" t="s">
        <v>39</v>
      </c>
      <c r="G16">
        <v>2.5000000000000001E-2</v>
      </c>
      <c r="H16" s="5" t="s">
        <v>9</v>
      </c>
      <c r="J16" s="1" t="s">
        <v>40</v>
      </c>
      <c r="K16" s="2">
        <f>G45</f>
        <v>7.3000000000000001E-3</v>
      </c>
      <c r="L16" s="2" t="s">
        <v>3</v>
      </c>
    </row>
    <row r="17" spans="2:12" x14ac:dyDescent="0.3">
      <c r="B17" s="6" t="s">
        <v>41</v>
      </c>
      <c r="C17" s="10">
        <f>K11/(K18*C14)</f>
        <v>206.45161290322582</v>
      </c>
      <c r="D17" s="7" t="s">
        <v>9</v>
      </c>
      <c r="F17" s="4" t="s">
        <v>42</v>
      </c>
      <c r="G17">
        <f>G16-G18</f>
        <v>1.2500000000000001E-2</v>
      </c>
      <c r="H17" s="5" t="s">
        <v>9</v>
      </c>
      <c r="J17" s="14" t="s">
        <v>43</v>
      </c>
      <c r="K17" s="2">
        <f>C5*8.8-133000</f>
        <v>361560.00000000006</v>
      </c>
      <c r="L17" s="2" t="s">
        <v>35</v>
      </c>
    </row>
    <row r="18" spans="2:12" x14ac:dyDescent="0.3">
      <c r="F18" s="4" t="s">
        <v>44</v>
      </c>
      <c r="G18">
        <f>G16*0.5</f>
        <v>1.2500000000000001E-2</v>
      </c>
      <c r="H18" s="5" t="s">
        <v>9</v>
      </c>
      <c r="J18" s="14" t="s">
        <v>45</v>
      </c>
      <c r="K18" s="2">
        <v>750000</v>
      </c>
      <c r="L18" s="2" t="s">
        <v>35</v>
      </c>
    </row>
    <row r="19" spans="2:12" x14ac:dyDescent="0.3">
      <c r="B19" s="8" t="s">
        <v>46</v>
      </c>
      <c r="C19" s="9"/>
      <c r="D19" s="3"/>
      <c r="F19" s="4" t="s">
        <v>47</v>
      </c>
      <c r="G19" s="11">
        <f>G17/C42</f>
        <v>1.9584500000000005E-3</v>
      </c>
      <c r="H19" s="5" t="s">
        <v>48</v>
      </c>
      <c r="J19" s="18" t="s">
        <v>107</v>
      </c>
      <c r="K19" s="19">
        <v>3.5000000000000001E-3</v>
      </c>
      <c r="L19" s="20" t="s">
        <v>6</v>
      </c>
    </row>
    <row r="20" spans="2:12" x14ac:dyDescent="0.3">
      <c r="B20" s="4" t="s">
        <v>49</v>
      </c>
      <c r="D20" s="5"/>
      <c r="F20" s="6" t="s">
        <v>50</v>
      </c>
      <c r="G20" s="12">
        <f>C42/(8*K17*G18)</f>
        <v>1.7652944140653275E-4</v>
      </c>
      <c r="H20" s="7" t="s">
        <v>51</v>
      </c>
    </row>
    <row r="21" spans="2:12" x14ac:dyDescent="0.3">
      <c r="B21" s="4" t="s">
        <v>52</v>
      </c>
      <c r="C21">
        <v>25</v>
      </c>
      <c r="D21" s="5" t="s">
        <v>9</v>
      </c>
    </row>
    <row r="22" spans="2:12" x14ac:dyDescent="0.3">
      <c r="B22" s="4" t="s">
        <v>53</v>
      </c>
      <c r="C22">
        <f>(C21-1.25)/1.25*C23</f>
        <v>190000</v>
      </c>
      <c r="D22" s="5" t="s">
        <v>3</v>
      </c>
      <c r="F22" s="8" t="s">
        <v>54</v>
      </c>
      <c r="G22" s="9"/>
      <c r="H22" s="3"/>
    </row>
    <row r="23" spans="2:12" x14ac:dyDescent="0.3">
      <c r="B23" s="6" t="s">
        <v>55</v>
      </c>
      <c r="C23" s="10">
        <v>10000</v>
      </c>
      <c r="D23" s="7" t="s">
        <v>3</v>
      </c>
      <c r="F23" s="4" t="s">
        <v>56</v>
      </c>
      <c r="G23">
        <f>K17/15</f>
        <v>24104.000000000004</v>
      </c>
      <c r="H23" s="5" t="s">
        <v>35</v>
      </c>
    </row>
    <row r="24" spans="2:12" x14ac:dyDescent="0.3">
      <c r="F24" s="4" t="s">
        <v>50</v>
      </c>
      <c r="G24">
        <f>G20</f>
        <v>1.7652944140653275E-4</v>
      </c>
      <c r="H24" s="5" t="s">
        <v>51</v>
      </c>
    </row>
    <row r="25" spans="2:12" x14ac:dyDescent="0.3">
      <c r="B25" s="8" t="s">
        <v>57</v>
      </c>
      <c r="C25" s="9"/>
      <c r="D25" s="3"/>
      <c r="F25" s="4" t="s">
        <v>58</v>
      </c>
      <c r="G25">
        <v>13.3</v>
      </c>
      <c r="H25" s="5" t="s">
        <v>59</v>
      </c>
    </row>
    <row r="26" spans="2:12" x14ac:dyDescent="0.3">
      <c r="B26" s="4" t="s">
        <v>60</v>
      </c>
      <c r="D26" s="5"/>
      <c r="F26" s="4" t="s">
        <v>4</v>
      </c>
      <c r="G26">
        <v>5.0000000000000001E-3</v>
      </c>
      <c r="H26" s="5" t="s">
        <v>3</v>
      </c>
    </row>
    <row r="27" spans="2:12" x14ac:dyDescent="0.3">
      <c r="B27" s="4" t="s">
        <v>61</v>
      </c>
      <c r="C27">
        <f>0.001*K11</f>
        <v>2.4E-2</v>
      </c>
      <c r="D27" s="5"/>
      <c r="F27" s="4" t="s">
        <v>62</v>
      </c>
      <c r="G27">
        <v>2E-3</v>
      </c>
      <c r="H27" s="5" t="s">
        <v>63</v>
      </c>
    </row>
    <row r="28" spans="2:12" x14ac:dyDescent="0.3">
      <c r="B28" s="4" t="s">
        <v>64</v>
      </c>
      <c r="C28" s="11">
        <v>9.9999999999999995E-8</v>
      </c>
      <c r="D28" s="5" t="s">
        <v>6</v>
      </c>
      <c r="F28" s="4" t="s">
        <v>65</v>
      </c>
      <c r="G28">
        <f>0.8/K11</f>
        <v>3.3333333333333333E-2</v>
      </c>
      <c r="H28" s="5" t="s">
        <v>59</v>
      </c>
    </row>
    <row r="29" spans="2:12" x14ac:dyDescent="0.3">
      <c r="B29" s="4" t="s">
        <v>66</v>
      </c>
      <c r="C29">
        <f>C27/C28</f>
        <v>240000.00000000003</v>
      </c>
      <c r="D29" s="5" t="s">
        <v>3</v>
      </c>
      <c r="F29" s="4" t="s">
        <v>67</v>
      </c>
      <c r="G29">
        <f>(2*PI()*G23*G24*G25*G26)/(G27*G28)</f>
        <v>26668.527593724786</v>
      </c>
      <c r="H29" s="5" t="s">
        <v>3</v>
      </c>
    </row>
    <row r="30" spans="2:12" x14ac:dyDescent="0.3">
      <c r="B30" s="4" t="s">
        <v>53</v>
      </c>
      <c r="C30">
        <v>187000</v>
      </c>
      <c r="D30" s="5" t="s">
        <v>3</v>
      </c>
      <c r="F30" s="4" t="s">
        <v>68</v>
      </c>
      <c r="G30">
        <f>1/(2*PI()*G24*(K11/K13))</f>
        <v>563.48583352370747</v>
      </c>
      <c r="H30" s="5" t="s">
        <v>35</v>
      </c>
    </row>
    <row r="31" spans="2:12" x14ac:dyDescent="0.3">
      <c r="B31" s="6" t="s">
        <v>55</v>
      </c>
      <c r="C31" s="10">
        <f>C30/((K11/0.8)-1)</f>
        <v>6448.2758620689656</v>
      </c>
      <c r="D31" s="7" t="s">
        <v>3</v>
      </c>
      <c r="F31" s="4" t="s">
        <v>69</v>
      </c>
      <c r="G31">
        <f>1/(2*PI()*G30*G29)</f>
        <v>1.0591027392037698E-8</v>
      </c>
      <c r="H31" s="5" t="s">
        <v>51</v>
      </c>
    </row>
    <row r="32" spans="2:12" x14ac:dyDescent="0.3">
      <c r="F32" s="4" t="s">
        <v>70</v>
      </c>
      <c r="G32">
        <f>K17/2</f>
        <v>180780.00000000003</v>
      </c>
      <c r="H32" s="5" t="s">
        <v>35</v>
      </c>
    </row>
    <row r="33" spans="2:13" x14ac:dyDescent="0.3">
      <c r="B33" s="8" t="s">
        <v>71</v>
      </c>
      <c r="C33" s="9"/>
      <c r="D33" s="3"/>
      <c r="F33" s="6" t="s">
        <v>72</v>
      </c>
      <c r="G33" s="10">
        <f>1/(2*PI()*G29*G32)</f>
        <v>3.3011914469934609E-11</v>
      </c>
      <c r="H33" s="7" t="s">
        <v>51</v>
      </c>
      <c r="M33" s="11"/>
    </row>
    <row r="34" spans="2:13" x14ac:dyDescent="0.3">
      <c r="B34" s="4" t="s">
        <v>73</v>
      </c>
      <c r="C34">
        <v>1E-3</v>
      </c>
      <c r="D34" s="5" t="s">
        <v>28</v>
      </c>
      <c r="J34" s="11"/>
      <c r="M34" s="11"/>
    </row>
    <row r="35" spans="2:13" x14ac:dyDescent="0.3">
      <c r="B35" s="6" t="s">
        <v>74</v>
      </c>
      <c r="C35" s="10">
        <f>C34*5/0.8</f>
        <v>6.2499999999999995E-3</v>
      </c>
      <c r="D35" s="7" t="s">
        <v>75</v>
      </c>
      <c r="F35" s="29" t="s">
        <v>76</v>
      </c>
      <c r="G35" s="30"/>
      <c r="H35" s="31"/>
      <c r="J35" s="11"/>
    </row>
    <row r="36" spans="2:13" x14ac:dyDescent="0.3">
      <c r="F36" s="24" t="s">
        <v>79</v>
      </c>
      <c r="G36" s="32">
        <f>G46</f>
        <v>6.1000000000000004E-8</v>
      </c>
      <c r="H36" s="33" t="s">
        <v>30</v>
      </c>
      <c r="M36" s="11"/>
    </row>
    <row r="37" spans="2:13" x14ac:dyDescent="0.3">
      <c r="B37" s="8" t="s">
        <v>77</v>
      </c>
      <c r="C37" s="9" t="s">
        <v>78</v>
      </c>
      <c r="D37" s="3"/>
      <c r="F37" s="24" t="s">
        <v>80</v>
      </c>
      <c r="G37" s="34">
        <v>0.125</v>
      </c>
      <c r="H37" s="33" t="s">
        <v>9</v>
      </c>
      <c r="J37" s="11"/>
    </row>
    <row r="38" spans="2:13" x14ac:dyDescent="0.3">
      <c r="B38" s="4" t="s">
        <v>33</v>
      </c>
      <c r="C38" s="21">
        <f>K11/((K9+K10)/2)</f>
        <v>0.58536585365853655</v>
      </c>
      <c r="D38" s="5"/>
      <c r="F38" s="35" t="s">
        <v>82</v>
      </c>
      <c r="G38" s="34"/>
      <c r="H38" s="33"/>
    </row>
    <row r="39" spans="2:13" x14ac:dyDescent="0.3">
      <c r="B39" s="4" t="s">
        <v>81</v>
      </c>
      <c r="C39" s="21">
        <v>0.24</v>
      </c>
      <c r="D39" s="5"/>
      <c r="F39" s="26" t="s">
        <v>85</v>
      </c>
      <c r="G39" s="36">
        <f>G36/G37</f>
        <v>4.8800000000000003E-7</v>
      </c>
      <c r="H39" s="37" t="s">
        <v>51</v>
      </c>
    </row>
    <row r="40" spans="2:13" x14ac:dyDescent="0.3">
      <c r="B40" s="4" t="s">
        <v>83</v>
      </c>
      <c r="C40" s="21">
        <f>(K11*(1-C38))/(C39*K13*K17)</f>
        <v>7.6452805683051869E-6</v>
      </c>
      <c r="D40" s="5" t="s">
        <v>84</v>
      </c>
    </row>
    <row r="41" spans="2:13" x14ac:dyDescent="0.3">
      <c r="B41" s="4" t="s">
        <v>86</v>
      </c>
      <c r="C41" s="22">
        <v>5.5999999999999997E-6</v>
      </c>
      <c r="D41" s="5" t="s">
        <v>84</v>
      </c>
      <c r="F41" s="8" t="s">
        <v>88</v>
      </c>
      <c r="G41" s="9"/>
      <c r="H41" s="3"/>
    </row>
    <row r="42" spans="2:13" x14ac:dyDescent="0.3">
      <c r="B42" s="4" t="s">
        <v>87</v>
      </c>
      <c r="C42" s="22">
        <f>(K11*(1-K11/K10))/(C41*K17)</f>
        <v>6.3825984834945997</v>
      </c>
      <c r="D42" s="5" t="s">
        <v>6</v>
      </c>
      <c r="F42" s="4" t="s">
        <v>93</v>
      </c>
      <c r="G42" s="21">
        <v>150</v>
      </c>
      <c r="H42" s="5" t="s">
        <v>9</v>
      </c>
    </row>
    <row r="43" spans="2:13" x14ac:dyDescent="0.3">
      <c r="B43" s="4" t="s">
        <v>90</v>
      </c>
      <c r="C43" s="21">
        <v>4.4400000000000004E-3</v>
      </c>
      <c r="D43" s="5" t="s">
        <v>3</v>
      </c>
      <c r="F43" s="4" t="s">
        <v>99</v>
      </c>
      <c r="G43" s="21">
        <v>214</v>
      </c>
      <c r="H43" s="5" t="s">
        <v>100</v>
      </c>
    </row>
    <row r="44" spans="2:13" x14ac:dyDescent="0.3">
      <c r="B44" s="4" t="s">
        <v>92</v>
      </c>
      <c r="C44" s="22">
        <f>K13+C42</f>
        <v>21.382598483494601</v>
      </c>
      <c r="D44" s="5" t="s">
        <v>6</v>
      </c>
      <c r="F44" s="4" t="s">
        <v>102</v>
      </c>
      <c r="G44" s="21">
        <v>114</v>
      </c>
      <c r="H44" s="5" t="s">
        <v>103</v>
      </c>
    </row>
    <row r="45" spans="2:13" x14ac:dyDescent="0.3">
      <c r="B45" s="4" t="s">
        <v>94</v>
      </c>
      <c r="C45" s="22">
        <f>(K13+(C42/2))*0.005</f>
        <v>9.0956496208736498E-2</v>
      </c>
      <c r="D45" s="5"/>
      <c r="F45" s="8" t="s">
        <v>127</v>
      </c>
      <c r="G45" s="9">
        <v>7.3000000000000001E-3</v>
      </c>
      <c r="H45" s="3" t="s">
        <v>3</v>
      </c>
    </row>
    <row r="46" spans="2:13" x14ac:dyDescent="0.3">
      <c r="B46" s="4" t="s">
        <v>96</v>
      </c>
      <c r="C46" s="21">
        <v>21</v>
      </c>
      <c r="D46" s="5" t="s">
        <v>6</v>
      </c>
      <c r="F46" s="16" t="s">
        <v>132</v>
      </c>
      <c r="G46" s="22">
        <f>61*10^-9</f>
        <v>6.1000000000000004E-8</v>
      </c>
      <c r="H46" s="5" t="s">
        <v>30</v>
      </c>
    </row>
    <row r="47" spans="2:13" x14ac:dyDescent="0.3">
      <c r="B47" s="4" t="s">
        <v>98</v>
      </c>
      <c r="C47" s="23">
        <f>C45/(50*C9)</f>
        <v>363.82598483494598</v>
      </c>
      <c r="D47" s="5"/>
      <c r="F47" s="35" t="s">
        <v>130</v>
      </c>
      <c r="G47" s="21">
        <f>1200*10^-12</f>
        <v>1.2E-9</v>
      </c>
      <c r="H47" s="33" t="s">
        <v>51</v>
      </c>
    </row>
    <row r="48" spans="2:13" x14ac:dyDescent="0.3">
      <c r="B48" s="6" t="s">
        <v>101</v>
      </c>
      <c r="C48" s="12">
        <f>0.005*(15+(C42/2))</f>
        <v>9.0956496208736498E-2</v>
      </c>
      <c r="D48" s="7"/>
      <c r="F48" s="35" t="s">
        <v>129</v>
      </c>
      <c r="G48" s="22">
        <f>96*10^-9</f>
        <v>9.6000000000000013E-8</v>
      </c>
      <c r="H48" s="33" t="s">
        <v>51</v>
      </c>
    </row>
    <row r="49" spans="2:8" x14ac:dyDescent="0.3">
      <c r="F49" s="35" t="s">
        <v>131</v>
      </c>
      <c r="G49" s="21">
        <v>9.1999999999999993</v>
      </c>
      <c r="H49" s="5" t="s">
        <v>9</v>
      </c>
    </row>
    <row r="50" spans="2:8" x14ac:dyDescent="0.3">
      <c r="B50" s="8" t="s">
        <v>104</v>
      </c>
      <c r="C50" s="9"/>
      <c r="D50" s="3"/>
      <c r="F50" s="39" t="s">
        <v>128</v>
      </c>
      <c r="G50" s="38">
        <v>1.1000000000000001</v>
      </c>
      <c r="H50" s="37" t="s">
        <v>9</v>
      </c>
    </row>
    <row r="51" spans="2:8" x14ac:dyDescent="0.3">
      <c r="B51" s="4" t="s">
        <v>106</v>
      </c>
      <c r="C51" s="23">
        <f>$K$10*(($G$36*4*$K$17)+$K$19)</f>
        <v>4.7694732800000015</v>
      </c>
      <c r="D51" s="5" t="s">
        <v>105</v>
      </c>
    </row>
    <row r="52" spans="2:8" x14ac:dyDescent="0.3">
      <c r="B52" s="24" t="s">
        <v>108</v>
      </c>
      <c r="C52" s="23">
        <v>40</v>
      </c>
      <c r="D52" s="25" t="s">
        <v>109</v>
      </c>
    </row>
    <row r="53" spans="2:8" x14ac:dyDescent="0.3">
      <c r="B53" s="24" t="s">
        <v>110</v>
      </c>
      <c r="C53" s="23">
        <v>29</v>
      </c>
      <c r="D53" s="25" t="s">
        <v>111</v>
      </c>
      <c r="F53" s="8" t="s">
        <v>113</v>
      </c>
      <c r="G53" s="9"/>
      <c r="H53" s="3"/>
    </row>
    <row r="54" spans="2:8" x14ac:dyDescent="0.3">
      <c r="B54" s="26" t="s">
        <v>112</v>
      </c>
      <c r="C54" s="27">
        <f>(C51*C53)+C52</f>
        <v>178.31472512000005</v>
      </c>
      <c r="D54" s="28" t="s">
        <v>109</v>
      </c>
      <c r="F54" s="4" t="s">
        <v>117</v>
      </c>
      <c r="G54" s="21">
        <f>0.9+$G$45</f>
        <v>0.9073</v>
      </c>
      <c r="H54" s="5" t="s">
        <v>3</v>
      </c>
    </row>
    <row r="55" spans="2:8" x14ac:dyDescent="0.3">
      <c r="F55" s="4" t="s">
        <v>121</v>
      </c>
      <c r="G55" s="21">
        <f>30*10^-9</f>
        <v>3.0000000000000004E-8</v>
      </c>
      <c r="H55" s="5" t="s">
        <v>123</v>
      </c>
    </row>
    <row r="56" spans="2:8" x14ac:dyDescent="0.3">
      <c r="B56" s="8" t="s">
        <v>126</v>
      </c>
      <c r="C56" s="9"/>
      <c r="D56" s="3"/>
      <c r="F56" s="4" t="s">
        <v>114</v>
      </c>
      <c r="G56" s="23">
        <f>($K$13/2)^2*$G$45*$K$14</f>
        <v>0.24036585365853658</v>
      </c>
      <c r="H56" s="5" t="s">
        <v>105</v>
      </c>
    </row>
    <row r="57" spans="2:8" x14ac:dyDescent="0.3">
      <c r="B57" s="4" t="s">
        <v>106</v>
      </c>
      <c r="C57" s="23">
        <f>$K$10*(($G$36*2*$K$17)+$K$19)</f>
        <v>2.4757366400000005</v>
      </c>
      <c r="D57" s="5" t="s">
        <v>105</v>
      </c>
      <c r="F57" s="4" t="s">
        <v>133</v>
      </c>
      <c r="G57" s="22">
        <f>($K$10*$K$13/4)*($G$46*$G$54/(5.5-$G$49))+($K$10*$G$48)+($G$47*($K$10)^2)</f>
        <v>5.3199531081081081E-6</v>
      </c>
      <c r="H57" s="5" t="s">
        <v>105</v>
      </c>
    </row>
    <row r="58" spans="2:8" x14ac:dyDescent="0.3">
      <c r="B58" s="24" t="s">
        <v>108</v>
      </c>
      <c r="C58" s="23">
        <v>40</v>
      </c>
      <c r="D58" s="25" t="s">
        <v>109</v>
      </c>
      <c r="F58" s="4" t="s">
        <v>120</v>
      </c>
      <c r="G58" s="23">
        <f>$G$57+$G$56</f>
        <v>0.24037117361164467</v>
      </c>
      <c r="H58" s="5" t="s">
        <v>105</v>
      </c>
    </row>
    <row r="59" spans="2:8" x14ac:dyDescent="0.3">
      <c r="B59" s="24" t="s">
        <v>110</v>
      </c>
      <c r="C59" s="23">
        <v>29</v>
      </c>
      <c r="D59" s="25" t="s">
        <v>111</v>
      </c>
      <c r="F59" s="6" t="s">
        <v>124</v>
      </c>
      <c r="G59" s="27">
        <f>($K$13/2)^2*$G$45*(1-$K$14)+$G$50*$K$13/2*$G$55*$K$17</f>
        <v>0.25974524634146345</v>
      </c>
      <c r="H59" s="7" t="s">
        <v>105</v>
      </c>
    </row>
    <row r="60" spans="2:8" x14ac:dyDescent="0.3">
      <c r="B60" s="26" t="s">
        <v>112</v>
      </c>
      <c r="C60" s="27">
        <f>(C57*C59)+C58</f>
        <v>111.79636256000002</v>
      </c>
      <c r="D60" s="28" t="s">
        <v>109</v>
      </c>
    </row>
    <row r="61" spans="2:8" x14ac:dyDescent="0.3">
      <c r="F61" s="8" t="s">
        <v>125</v>
      </c>
      <c r="G61" s="9"/>
      <c r="H61" s="3"/>
    </row>
    <row r="62" spans="2:8" x14ac:dyDescent="0.3">
      <c r="F62" s="4" t="s">
        <v>117</v>
      </c>
      <c r="G62" s="21">
        <f>0.9+$G$45</f>
        <v>0.9073</v>
      </c>
      <c r="H62" s="5" t="s">
        <v>3</v>
      </c>
    </row>
    <row r="63" spans="2:8" x14ac:dyDescent="0.3">
      <c r="F63" s="4" t="s">
        <v>121</v>
      </c>
      <c r="G63" s="21">
        <f>30*10^-9</f>
        <v>3.0000000000000004E-8</v>
      </c>
      <c r="H63" s="5" t="s">
        <v>123</v>
      </c>
    </row>
    <row r="64" spans="2:8" x14ac:dyDescent="0.3">
      <c r="F64" s="4" t="s">
        <v>114</v>
      </c>
      <c r="G64" s="23">
        <f>($K$13)^2*$G$45*$K$14</f>
        <v>0.96146341463414631</v>
      </c>
      <c r="H64" s="5" t="s">
        <v>105</v>
      </c>
    </row>
    <row r="65" spans="6:9" x14ac:dyDescent="0.3">
      <c r="F65" s="4" t="s">
        <v>116</v>
      </c>
      <c r="G65" s="22">
        <f>($K$10*$K$13/2)*($G$46*$G$54/(5.5-$G$49))+($K$10*$G$48)+($G$47*($K$10)^2)</f>
        <v>2.4031062162162158E-6</v>
      </c>
      <c r="H65" s="5" t="s">
        <v>105</v>
      </c>
    </row>
    <row r="66" spans="6:9" x14ac:dyDescent="0.3">
      <c r="F66" s="4" t="s">
        <v>120</v>
      </c>
      <c r="G66" s="23">
        <f>G64+G65</f>
        <v>0.96146581774036255</v>
      </c>
      <c r="H66" s="5" t="s">
        <v>105</v>
      </c>
    </row>
    <row r="67" spans="6:9" x14ac:dyDescent="0.3">
      <c r="F67" s="6" t="s">
        <v>124</v>
      </c>
      <c r="G67" s="27">
        <f>($K$13)^2*$G$45*(1-$K$14)+$G$50*$K$13*$G$55*$K$17</f>
        <v>0.86000878536585379</v>
      </c>
      <c r="H67" s="7" t="s">
        <v>105</v>
      </c>
    </row>
    <row r="69" spans="6:9" x14ac:dyDescent="0.3">
      <c r="I69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41F53-2FDA-44F2-913C-2CB447384AA7}">
  <dimension ref="B4:M70"/>
  <sheetViews>
    <sheetView tabSelected="1" topLeftCell="A5" zoomScale="85" zoomScaleNormal="85" workbookViewId="0">
      <selection activeCell="Q9" sqref="Q9"/>
    </sheetView>
  </sheetViews>
  <sheetFormatPr defaultRowHeight="14.4" x14ac:dyDescent="0.3"/>
  <cols>
    <col min="2" max="2" width="31.5546875" bestFit="1" customWidth="1"/>
    <col min="3" max="3" width="12" bestFit="1" customWidth="1"/>
    <col min="6" max="6" width="30.44140625" bestFit="1" customWidth="1"/>
    <col min="7" max="7" width="18.44140625" bestFit="1" customWidth="1"/>
    <col min="9" max="9" width="17" customWidth="1"/>
    <col min="10" max="10" width="17.6640625" bestFit="1" customWidth="1"/>
    <col min="11" max="11" width="8.88671875" customWidth="1"/>
    <col min="12" max="12" width="5.33203125" bestFit="1" customWidth="1"/>
  </cols>
  <sheetData>
    <row r="4" spans="2:12" x14ac:dyDescent="0.3">
      <c r="B4" s="8" t="s">
        <v>0</v>
      </c>
      <c r="C4" s="9"/>
      <c r="D4" s="3"/>
      <c r="F4" s="8" t="s">
        <v>1</v>
      </c>
      <c r="G4" s="9"/>
      <c r="H4" s="3"/>
    </row>
    <row r="5" spans="2:12" x14ac:dyDescent="0.3">
      <c r="B5" s="6" t="s">
        <v>2</v>
      </c>
      <c r="C5" s="10">
        <f>56200</f>
        <v>56200</v>
      </c>
      <c r="D5" s="7" t="s">
        <v>3</v>
      </c>
      <c r="F5" s="4" t="s">
        <v>4</v>
      </c>
      <c r="G5" s="11">
        <f>C8/(K13+(C42/2))</f>
        <v>4.1228501056088471E-3</v>
      </c>
      <c r="H5" s="5" t="s">
        <v>3</v>
      </c>
    </row>
    <row r="6" spans="2:12" x14ac:dyDescent="0.3">
      <c r="F6" s="4" t="s">
        <v>5</v>
      </c>
      <c r="G6" s="11">
        <f>(K11*(1-(K11/K9)))/(C41*K17)</f>
        <v>2.3706794367265651</v>
      </c>
      <c r="H6" s="5" t="s">
        <v>6</v>
      </c>
    </row>
    <row r="7" spans="2:12" x14ac:dyDescent="0.3">
      <c r="B7" s="8" t="s">
        <v>7</v>
      </c>
      <c r="C7" s="9"/>
      <c r="D7" s="3"/>
      <c r="F7" s="4" t="s">
        <v>8</v>
      </c>
      <c r="G7" s="11">
        <f>G6*G5</f>
        <v>9.7739559660728406E-3</v>
      </c>
      <c r="H7" s="5" t="s">
        <v>9</v>
      </c>
    </row>
    <row r="8" spans="2:12" ht="15.6" x14ac:dyDescent="0.3">
      <c r="B8" s="4" t="s">
        <v>10</v>
      </c>
      <c r="C8">
        <v>7.4999999999999997E-2</v>
      </c>
      <c r="D8" s="5" t="s">
        <v>9</v>
      </c>
      <c r="F8" s="6" t="s">
        <v>11</v>
      </c>
      <c r="G8" s="10">
        <f>G5*(K13+(C42/2))</f>
        <v>7.4999999999999997E-2</v>
      </c>
      <c r="H8" s="7" t="s">
        <v>9</v>
      </c>
      <c r="J8" s="13" t="s">
        <v>12</v>
      </c>
      <c r="K8" s="13" t="s">
        <v>13</v>
      </c>
      <c r="L8" s="13" t="s">
        <v>14</v>
      </c>
    </row>
    <row r="9" spans="2:12" x14ac:dyDescent="0.3">
      <c r="B9" s="4" t="s">
        <v>15</v>
      </c>
      <c r="C9">
        <v>5.0000000000000004E-6</v>
      </c>
      <c r="D9" s="5" t="s">
        <v>6</v>
      </c>
      <c r="J9" s="1" t="s">
        <v>16</v>
      </c>
      <c r="K9" s="2">
        <v>30</v>
      </c>
      <c r="L9" s="2" t="s">
        <v>9</v>
      </c>
    </row>
    <row r="10" spans="2:12" x14ac:dyDescent="0.3">
      <c r="B10" s="6" t="s">
        <v>17</v>
      </c>
      <c r="C10" s="10">
        <f>C8/(C9*50)</f>
        <v>300</v>
      </c>
      <c r="D10" s="7" t="s">
        <v>18</v>
      </c>
      <c r="F10" s="8" t="s">
        <v>19</v>
      </c>
      <c r="G10" s="9"/>
      <c r="H10" s="3"/>
      <c r="J10" s="1" t="s">
        <v>20</v>
      </c>
      <c r="K10" s="2">
        <v>52</v>
      </c>
      <c r="L10" s="2" t="s">
        <v>9</v>
      </c>
    </row>
    <row r="11" spans="2:12" x14ac:dyDescent="0.3">
      <c r="F11" s="4" t="s">
        <v>21</v>
      </c>
      <c r="G11" s="21">
        <v>0.9</v>
      </c>
      <c r="H11" s="5" t="s">
        <v>22</v>
      </c>
      <c r="J11" s="1" t="s">
        <v>23</v>
      </c>
      <c r="K11" s="2">
        <v>24</v>
      </c>
      <c r="L11" s="2" t="s">
        <v>9</v>
      </c>
    </row>
    <row r="12" spans="2:12" x14ac:dyDescent="0.3">
      <c r="B12" s="8" t="s">
        <v>24</v>
      </c>
      <c r="C12" s="9"/>
      <c r="D12" s="3"/>
      <c r="F12" s="4" t="s">
        <v>25</v>
      </c>
      <c r="G12" s="21">
        <v>0.3</v>
      </c>
      <c r="H12" s="5" t="s">
        <v>9</v>
      </c>
      <c r="J12" s="1" t="s">
        <v>26</v>
      </c>
      <c r="K12" s="2">
        <v>30</v>
      </c>
      <c r="L12" s="2" t="s">
        <v>6</v>
      </c>
    </row>
    <row r="13" spans="2:12" x14ac:dyDescent="0.3">
      <c r="B13" s="4" t="s">
        <v>27</v>
      </c>
      <c r="C13" s="11">
        <v>1.1999999999999999E-7</v>
      </c>
      <c r="D13" s="5" t="s">
        <v>28</v>
      </c>
      <c r="F13" s="4" t="s">
        <v>29</v>
      </c>
      <c r="G13" s="21">
        <f>(K12*C38*(1-C38))/(G11*G12*K17)</f>
        <v>7.4588103105416415E-5</v>
      </c>
      <c r="H13" s="5" t="s">
        <v>30</v>
      </c>
      <c r="J13" s="1" t="s">
        <v>31</v>
      </c>
      <c r="K13" s="2">
        <f>K12/2</f>
        <v>15</v>
      </c>
      <c r="L13" s="2" t="s">
        <v>6</v>
      </c>
    </row>
    <row r="14" spans="2:12" x14ac:dyDescent="0.3">
      <c r="B14" s="4" t="s">
        <v>32</v>
      </c>
      <c r="C14" s="11">
        <v>1.55E-7</v>
      </c>
      <c r="D14" s="5" t="s">
        <v>28</v>
      </c>
      <c r="F14" s="26" t="s">
        <v>139</v>
      </c>
      <c r="G14" s="10"/>
      <c r="H14" s="37" t="s">
        <v>30</v>
      </c>
      <c r="J14" s="1" t="s">
        <v>33</v>
      </c>
      <c r="K14" s="2">
        <f>C38</f>
        <v>0.58536585365853655</v>
      </c>
      <c r="L14" s="2"/>
    </row>
    <row r="15" spans="2:12" x14ac:dyDescent="0.3">
      <c r="B15" s="4" t="s">
        <v>34</v>
      </c>
      <c r="C15" s="11">
        <f>K18</f>
        <v>2977667.493796526</v>
      </c>
      <c r="D15" s="5" t="s">
        <v>35</v>
      </c>
      <c r="J15" s="1" t="s">
        <v>37</v>
      </c>
      <c r="K15" s="2">
        <f>G48</f>
        <v>4.1000000000000003E-3</v>
      </c>
      <c r="L15" s="2" t="s">
        <v>3</v>
      </c>
    </row>
    <row r="16" spans="2:12" x14ac:dyDescent="0.3">
      <c r="B16" s="4" t="s">
        <v>38</v>
      </c>
      <c r="C16">
        <f>((K11+K12*(K15+C43))/(1-C15*C13))+(K12*K15*K16)</f>
        <v>37.742776886872591</v>
      </c>
      <c r="D16" s="5" t="s">
        <v>9</v>
      </c>
      <c r="F16" s="8" t="s">
        <v>36</v>
      </c>
      <c r="G16" s="9"/>
      <c r="H16" s="3"/>
      <c r="I16" s="17"/>
      <c r="J16" s="1" t="s">
        <v>40</v>
      </c>
      <c r="K16" s="2">
        <f>G48</f>
        <v>4.1000000000000003E-3</v>
      </c>
      <c r="L16" s="2" t="s">
        <v>3</v>
      </c>
    </row>
    <row r="17" spans="2:12" x14ac:dyDescent="0.3">
      <c r="B17" s="6" t="s">
        <v>41</v>
      </c>
      <c r="C17" s="10">
        <f>K11/(K18*C14)</f>
        <v>52</v>
      </c>
      <c r="D17" s="7" t="s">
        <v>9</v>
      </c>
      <c r="F17" s="4" t="s">
        <v>39</v>
      </c>
      <c r="G17" s="21">
        <v>2.5000000000000001E-2</v>
      </c>
      <c r="H17" s="5" t="s">
        <v>9</v>
      </c>
      <c r="I17" s="17"/>
      <c r="J17" s="14" t="s">
        <v>43</v>
      </c>
      <c r="K17" s="2">
        <f>C5*8.8-133000</f>
        <v>361560.00000000006</v>
      </c>
      <c r="L17" s="2" t="s">
        <v>35</v>
      </c>
    </row>
    <row r="18" spans="2:12" x14ac:dyDescent="0.3">
      <c r="F18" s="4" t="s">
        <v>42</v>
      </c>
      <c r="G18" s="21">
        <f>G17-G19</f>
        <v>1.2500000000000001E-2</v>
      </c>
      <c r="H18" s="5" t="s">
        <v>9</v>
      </c>
      <c r="I18" s="17"/>
      <c r="J18" s="14" t="s">
        <v>45</v>
      </c>
      <c r="K18" s="2">
        <f>K11/(K10*K20)</f>
        <v>2977667.493796526</v>
      </c>
      <c r="L18" s="2" t="s">
        <v>35</v>
      </c>
    </row>
    <row r="19" spans="2:12" x14ac:dyDescent="0.3">
      <c r="B19" s="8" t="s">
        <v>46</v>
      </c>
      <c r="C19" s="9"/>
      <c r="D19" s="3"/>
      <c r="F19" s="4" t="s">
        <v>44</v>
      </c>
      <c r="G19" s="21">
        <f>G17*0.5</f>
        <v>1.2500000000000001E-2</v>
      </c>
      <c r="H19" s="5" t="s">
        <v>9</v>
      </c>
      <c r="I19" s="17"/>
      <c r="J19" s="18" t="s">
        <v>107</v>
      </c>
      <c r="K19" s="19">
        <v>3.5000000000000001E-3</v>
      </c>
      <c r="L19" s="20" t="s">
        <v>6</v>
      </c>
    </row>
    <row r="20" spans="2:12" x14ac:dyDescent="0.3">
      <c r="B20" s="4" t="s">
        <v>49</v>
      </c>
      <c r="D20" s="5"/>
      <c r="F20" s="4" t="s">
        <v>47</v>
      </c>
      <c r="G20" s="22">
        <f>G18/C42</f>
        <v>1.9584500000000005E-3</v>
      </c>
      <c r="H20" s="5" t="s">
        <v>48</v>
      </c>
      <c r="J20" s="18" t="s">
        <v>134</v>
      </c>
      <c r="K20" s="19">
        <f>155*10^-9</f>
        <v>1.55E-7</v>
      </c>
      <c r="L20" s="20" t="s">
        <v>28</v>
      </c>
    </row>
    <row r="21" spans="2:12" x14ac:dyDescent="0.3">
      <c r="B21" s="4" t="s">
        <v>52</v>
      </c>
      <c r="C21">
        <v>25</v>
      </c>
      <c r="D21" s="5" t="s">
        <v>9</v>
      </c>
      <c r="F21" s="4" t="s">
        <v>50</v>
      </c>
      <c r="G21" s="22">
        <f>C42/(8*K17*G19)</f>
        <v>1.7652944140653275E-4</v>
      </c>
      <c r="H21" s="5" t="s">
        <v>51</v>
      </c>
    </row>
    <row r="22" spans="2:12" x14ac:dyDescent="0.3">
      <c r="B22" s="4" t="s">
        <v>53</v>
      </c>
      <c r="C22">
        <f>(C21-1.25)/1.25*C23</f>
        <v>190000</v>
      </c>
      <c r="D22" s="5" t="s">
        <v>3</v>
      </c>
      <c r="F22" s="24" t="s">
        <v>137</v>
      </c>
      <c r="G22" s="22">
        <f>132*10^-6</f>
        <v>1.3199999999999998E-4</v>
      </c>
      <c r="H22" s="33" t="s">
        <v>51</v>
      </c>
    </row>
    <row r="23" spans="2:12" x14ac:dyDescent="0.3">
      <c r="B23" s="6" t="s">
        <v>55</v>
      </c>
      <c r="C23" s="10">
        <v>10000</v>
      </c>
      <c r="D23" s="7" t="s">
        <v>3</v>
      </c>
      <c r="F23" s="26" t="s">
        <v>138</v>
      </c>
      <c r="G23" s="10"/>
      <c r="H23" s="37" t="s">
        <v>48</v>
      </c>
      <c r="J23" s="40" t="s">
        <v>135</v>
      </c>
    </row>
    <row r="24" spans="2:12" x14ac:dyDescent="0.3">
      <c r="J24" s="41" t="s">
        <v>83</v>
      </c>
      <c r="K24">
        <f>(K10-K11)/(0.3*K13)*K11/(K10*K17)</f>
        <v>7.9427892239043906E-6</v>
      </c>
      <c r="L24" t="s">
        <v>84</v>
      </c>
    </row>
    <row r="25" spans="2:12" x14ac:dyDescent="0.3">
      <c r="B25" s="8" t="s">
        <v>57</v>
      </c>
      <c r="C25" s="9"/>
      <c r="D25" s="3"/>
      <c r="F25" s="8" t="s">
        <v>54</v>
      </c>
      <c r="G25" s="9"/>
      <c r="H25" s="3"/>
      <c r="J25" s="41" t="s">
        <v>136</v>
      </c>
      <c r="K25" s="17">
        <f>G22*K11/C34</f>
        <v>3.1679999999999997</v>
      </c>
      <c r="L25" t="s">
        <v>6</v>
      </c>
    </row>
    <row r="26" spans="2:12" x14ac:dyDescent="0.3">
      <c r="B26" s="4" t="s">
        <v>60</v>
      </c>
      <c r="D26" s="5"/>
      <c r="F26" s="4" t="s">
        <v>56</v>
      </c>
      <c r="G26">
        <f>K17/15</f>
        <v>24104.000000000004</v>
      </c>
      <c r="H26" s="5" t="s">
        <v>35</v>
      </c>
    </row>
    <row r="27" spans="2:12" x14ac:dyDescent="0.3">
      <c r="B27" s="4" t="s">
        <v>61</v>
      </c>
      <c r="C27">
        <f>0.001*K11</f>
        <v>2.4E-2</v>
      </c>
      <c r="D27" s="5"/>
      <c r="F27" s="4" t="s">
        <v>50</v>
      </c>
      <c r="G27">
        <f>G21</f>
        <v>1.7652944140653275E-4</v>
      </c>
      <c r="H27" s="5" t="s">
        <v>51</v>
      </c>
    </row>
    <row r="28" spans="2:12" x14ac:dyDescent="0.3">
      <c r="B28" s="4" t="s">
        <v>64</v>
      </c>
      <c r="C28" s="11">
        <v>9.9999999999999995E-8</v>
      </c>
      <c r="D28" s="5" t="s">
        <v>6</v>
      </c>
      <c r="F28" s="4" t="s">
        <v>58</v>
      </c>
      <c r="G28">
        <v>13.3</v>
      </c>
      <c r="H28" s="5" t="s">
        <v>59</v>
      </c>
    </row>
    <row r="29" spans="2:12" x14ac:dyDescent="0.3">
      <c r="B29" s="4" t="s">
        <v>66</v>
      </c>
      <c r="C29">
        <f>C27/C28</f>
        <v>240000.00000000003</v>
      </c>
      <c r="D29" s="5" t="s">
        <v>3</v>
      </c>
      <c r="F29" s="4" t="s">
        <v>4</v>
      </c>
      <c r="G29">
        <v>5.0000000000000001E-3</v>
      </c>
      <c r="H29" s="5" t="s">
        <v>3</v>
      </c>
    </row>
    <row r="30" spans="2:12" x14ac:dyDescent="0.3">
      <c r="B30" s="4" t="s">
        <v>53</v>
      </c>
      <c r="C30">
        <v>187000</v>
      </c>
      <c r="D30" s="5" t="s">
        <v>3</v>
      </c>
      <c r="F30" s="4" t="s">
        <v>62</v>
      </c>
      <c r="G30">
        <v>2E-3</v>
      </c>
      <c r="H30" s="5" t="s">
        <v>63</v>
      </c>
    </row>
    <row r="31" spans="2:12" x14ac:dyDescent="0.3">
      <c r="B31" s="6" t="s">
        <v>55</v>
      </c>
      <c r="C31" s="10">
        <f>C30/((K11/0.8)-1)</f>
        <v>6448.2758620689656</v>
      </c>
      <c r="D31" s="7" t="s">
        <v>3</v>
      </c>
      <c r="F31" s="4" t="s">
        <v>65</v>
      </c>
      <c r="G31">
        <f>0.8/K11</f>
        <v>3.3333333333333333E-2</v>
      </c>
      <c r="H31" s="5" t="s">
        <v>59</v>
      </c>
    </row>
    <row r="32" spans="2:12" x14ac:dyDescent="0.3">
      <c r="F32" s="4" t="s">
        <v>67</v>
      </c>
      <c r="G32">
        <f>(2*PI()*G26*G27*G28*G29)/(G30*G31)</f>
        <v>26668.527593724786</v>
      </c>
      <c r="H32" s="5" t="s">
        <v>3</v>
      </c>
    </row>
    <row r="33" spans="2:13" x14ac:dyDescent="0.3">
      <c r="B33" s="8" t="s">
        <v>71</v>
      </c>
      <c r="C33" s="9"/>
      <c r="D33" s="3"/>
      <c r="F33" s="4" t="s">
        <v>68</v>
      </c>
      <c r="G33">
        <f>1/(2*PI()*G27*(K11/K13))</f>
        <v>563.48583352370747</v>
      </c>
      <c r="H33" s="5" t="s">
        <v>35</v>
      </c>
      <c r="M33" s="11"/>
    </row>
    <row r="34" spans="2:13" x14ac:dyDescent="0.3">
      <c r="B34" s="4" t="s">
        <v>73</v>
      </c>
      <c r="C34">
        <v>1E-3</v>
      </c>
      <c r="D34" s="5" t="s">
        <v>28</v>
      </c>
      <c r="F34" s="4" t="s">
        <v>69</v>
      </c>
      <c r="G34">
        <f>1/(2*PI()*G33*G32)</f>
        <v>1.0591027392037698E-8</v>
      </c>
      <c r="H34" s="5" t="s">
        <v>51</v>
      </c>
      <c r="J34" s="11"/>
      <c r="M34" s="11"/>
    </row>
    <row r="35" spans="2:13" x14ac:dyDescent="0.3">
      <c r="B35" s="6" t="s">
        <v>74</v>
      </c>
      <c r="C35" s="10">
        <f>C34*5/0.8</f>
        <v>6.2499999999999995E-3</v>
      </c>
      <c r="D35" s="7" t="s">
        <v>75</v>
      </c>
      <c r="F35" s="4" t="s">
        <v>70</v>
      </c>
      <c r="G35">
        <f>K17/2</f>
        <v>180780.00000000003</v>
      </c>
      <c r="H35" s="5" t="s">
        <v>35</v>
      </c>
      <c r="J35" s="11"/>
    </row>
    <row r="36" spans="2:13" x14ac:dyDescent="0.3">
      <c r="F36" s="6" t="s">
        <v>72</v>
      </c>
      <c r="G36" s="10">
        <f>1/(2*PI()*G32*G35)</f>
        <v>3.3011914469934609E-11</v>
      </c>
      <c r="H36" s="7" t="s">
        <v>51</v>
      </c>
      <c r="M36" s="11"/>
    </row>
    <row r="37" spans="2:13" x14ac:dyDescent="0.3">
      <c r="B37" s="8" t="s">
        <v>77</v>
      </c>
      <c r="C37" s="9" t="s">
        <v>78</v>
      </c>
      <c r="D37" s="3"/>
      <c r="J37" s="11"/>
    </row>
    <row r="38" spans="2:13" x14ac:dyDescent="0.3">
      <c r="B38" s="4" t="s">
        <v>33</v>
      </c>
      <c r="C38" s="21">
        <f>K11/((K9+K10)/2)</f>
        <v>0.58536585365853655</v>
      </c>
      <c r="D38" s="5"/>
      <c r="F38" s="29" t="s">
        <v>76</v>
      </c>
      <c r="G38" s="30"/>
      <c r="H38" s="31"/>
    </row>
    <row r="39" spans="2:13" x14ac:dyDescent="0.3">
      <c r="B39" s="4" t="s">
        <v>81</v>
      </c>
      <c r="C39" s="21">
        <v>0.24</v>
      </c>
      <c r="D39" s="5"/>
      <c r="F39" s="24" t="s">
        <v>79</v>
      </c>
      <c r="G39" s="32">
        <f>G49</f>
        <v>9.3000000000000012E-8</v>
      </c>
      <c r="H39" s="33" t="s">
        <v>30</v>
      </c>
    </row>
    <row r="40" spans="2:13" x14ac:dyDescent="0.3">
      <c r="B40" s="4" t="s">
        <v>83</v>
      </c>
      <c r="C40" s="21">
        <f>(K11*(1-C38))/(C39*K13*K17)</f>
        <v>7.6452805683051869E-6</v>
      </c>
      <c r="D40" s="5" t="s">
        <v>84</v>
      </c>
      <c r="F40" s="24" t="s">
        <v>80</v>
      </c>
      <c r="G40" s="34">
        <v>0.125</v>
      </c>
      <c r="H40" s="33" t="s">
        <v>9</v>
      </c>
    </row>
    <row r="41" spans="2:13" x14ac:dyDescent="0.3">
      <c r="B41" s="4" t="s">
        <v>86</v>
      </c>
      <c r="C41" s="22">
        <v>5.5999999999999997E-6</v>
      </c>
      <c r="D41" s="5" t="s">
        <v>84</v>
      </c>
      <c r="F41" s="35" t="s">
        <v>82</v>
      </c>
      <c r="G41" s="34"/>
      <c r="H41" s="33"/>
    </row>
    <row r="42" spans="2:13" x14ac:dyDescent="0.3">
      <c r="B42" s="4" t="s">
        <v>87</v>
      </c>
      <c r="C42" s="22">
        <f>(K11*(1-K11/K10))/(C41*K17)</f>
        <v>6.3825984834945997</v>
      </c>
      <c r="D42" s="5" t="s">
        <v>6</v>
      </c>
      <c r="F42" s="26" t="s">
        <v>85</v>
      </c>
      <c r="G42" s="36">
        <f>G39/G40</f>
        <v>7.440000000000001E-7</v>
      </c>
      <c r="H42" s="37" t="s">
        <v>51</v>
      </c>
    </row>
    <row r="43" spans="2:13" x14ac:dyDescent="0.3">
      <c r="B43" s="4" t="s">
        <v>90</v>
      </c>
      <c r="C43" s="21">
        <v>4.4400000000000004E-3</v>
      </c>
      <c r="D43" s="5" t="s">
        <v>3</v>
      </c>
    </row>
    <row r="44" spans="2:13" x14ac:dyDescent="0.3">
      <c r="B44" s="4" t="s">
        <v>92</v>
      </c>
      <c r="C44" s="22">
        <f>K13+C42</f>
        <v>21.382598483494601</v>
      </c>
      <c r="D44" s="5" t="s">
        <v>6</v>
      </c>
      <c r="F44" s="8" t="s">
        <v>88</v>
      </c>
      <c r="G44" s="9"/>
      <c r="H44" s="3"/>
    </row>
    <row r="45" spans="2:13" x14ac:dyDescent="0.3">
      <c r="B45" s="4" t="s">
        <v>94</v>
      </c>
      <c r="C45" s="22">
        <f>(K13+(C42/2))*0.005</f>
        <v>9.0956496208736498E-2</v>
      </c>
      <c r="D45" s="5"/>
      <c r="F45" s="4" t="s">
        <v>93</v>
      </c>
      <c r="G45" s="21">
        <v>100</v>
      </c>
      <c r="H45" s="5" t="s">
        <v>9</v>
      </c>
    </row>
    <row r="46" spans="2:13" x14ac:dyDescent="0.3">
      <c r="B46" s="4" t="s">
        <v>96</v>
      </c>
      <c r="C46" s="21">
        <v>21</v>
      </c>
      <c r="D46" s="5" t="s">
        <v>6</v>
      </c>
      <c r="F46" s="4" t="s">
        <v>99</v>
      </c>
      <c r="G46" s="21">
        <v>263</v>
      </c>
      <c r="H46" s="5" t="s">
        <v>100</v>
      </c>
    </row>
    <row r="47" spans="2:13" x14ac:dyDescent="0.3">
      <c r="B47" s="4" t="s">
        <v>98</v>
      </c>
      <c r="C47" s="23">
        <f>C45/(50*C9)</f>
        <v>363.82598483494598</v>
      </c>
      <c r="D47" s="5"/>
      <c r="F47" s="4" t="s">
        <v>102</v>
      </c>
      <c r="G47" s="21">
        <v>100</v>
      </c>
      <c r="H47" s="5" t="s">
        <v>103</v>
      </c>
    </row>
    <row r="48" spans="2:13" x14ac:dyDescent="0.3">
      <c r="B48" s="6" t="s">
        <v>101</v>
      </c>
      <c r="C48" s="12">
        <f>0.005*(15+(C42/2))</f>
        <v>9.0956496208736498E-2</v>
      </c>
      <c r="D48" s="7"/>
      <c r="F48" s="8" t="s">
        <v>127</v>
      </c>
      <c r="G48" s="9">
        <v>4.1000000000000003E-3</v>
      </c>
      <c r="H48" s="3" t="s">
        <v>3</v>
      </c>
    </row>
    <row r="49" spans="2:8" x14ac:dyDescent="0.3">
      <c r="F49" s="16" t="s">
        <v>132</v>
      </c>
      <c r="G49" s="22">
        <f>93*10^-9</f>
        <v>9.3000000000000012E-8</v>
      </c>
      <c r="H49" s="5" t="s">
        <v>30</v>
      </c>
    </row>
    <row r="50" spans="2:8" x14ac:dyDescent="0.3">
      <c r="B50" s="8" t="s">
        <v>104</v>
      </c>
      <c r="C50" s="9"/>
      <c r="D50" s="3"/>
      <c r="F50" s="35" t="s">
        <v>130</v>
      </c>
      <c r="G50" s="21">
        <f>680*10^-12</f>
        <v>6.8000000000000003E-10</v>
      </c>
      <c r="H50" s="33" t="s">
        <v>51</v>
      </c>
    </row>
    <row r="51" spans="2:8" x14ac:dyDescent="0.3">
      <c r="B51" s="4" t="s">
        <v>106</v>
      </c>
      <c r="C51" s="23">
        <f>$K$10*(($G$39*4*$K$17)+$K$19)</f>
        <v>7.1760166400000021</v>
      </c>
      <c r="D51" s="5" t="s">
        <v>105</v>
      </c>
      <c r="F51" s="35" t="s">
        <v>129</v>
      </c>
      <c r="G51" s="22">
        <f>155*10^-9</f>
        <v>1.55E-7</v>
      </c>
      <c r="H51" s="33" t="s">
        <v>51</v>
      </c>
    </row>
    <row r="52" spans="2:8" x14ac:dyDescent="0.3">
      <c r="B52" s="24" t="s">
        <v>108</v>
      </c>
      <c r="C52" s="23">
        <v>40</v>
      </c>
      <c r="D52" s="25" t="s">
        <v>109</v>
      </c>
      <c r="F52" s="35" t="s">
        <v>131</v>
      </c>
      <c r="G52" s="21">
        <v>5</v>
      </c>
      <c r="H52" s="5" t="s">
        <v>9</v>
      </c>
    </row>
    <row r="53" spans="2:8" x14ac:dyDescent="0.3">
      <c r="B53" s="24" t="s">
        <v>110</v>
      </c>
      <c r="C53" s="23">
        <v>29</v>
      </c>
      <c r="D53" s="25" t="s">
        <v>111</v>
      </c>
      <c r="F53" s="39" t="s">
        <v>128</v>
      </c>
      <c r="G53" s="38">
        <v>1.3</v>
      </c>
      <c r="H53" s="37" t="s">
        <v>9</v>
      </c>
    </row>
    <row r="54" spans="2:8" x14ac:dyDescent="0.3">
      <c r="B54" s="26" t="s">
        <v>112</v>
      </c>
      <c r="C54" s="27">
        <f>(C51*C53)+C52</f>
        <v>248.10448256000006</v>
      </c>
      <c r="D54" s="28" t="s">
        <v>109</v>
      </c>
    </row>
    <row r="56" spans="2:8" x14ac:dyDescent="0.3">
      <c r="B56" s="8" t="s">
        <v>126</v>
      </c>
      <c r="C56" s="9"/>
      <c r="D56" s="3"/>
      <c r="F56" s="8" t="s">
        <v>113</v>
      </c>
      <c r="G56" s="9"/>
      <c r="H56" s="3"/>
    </row>
    <row r="57" spans="2:8" x14ac:dyDescent="0.3">
      <c r="B57" s="4" t="s">
        <v>106</v>
      </c>
      <c r="C57" s="23">
        <f>$K$10*(($G$39*2*$K$17)+$K$19)</f>
        <v>3.6790083200000012</v>
      </c>
      <c r="D57" s="5" t="s">
        <v>105</v>
      </c>
      <c r="F57" s="4" t="s">
        <v>117</v>
      </c>
      <c r="G57" s="21">
        <f>0.9+$G$48</f>
        <v>0.90410000000000001</v>
      </c>
      <c r="H57" s="5" t="s">
        <v>3</v>
      </c>
    </row>
    <row r="58" spans="2:8" x14ac:dyDescent="0.3">
      <c r="B58" s="24" t="s">
        <v>108</v>
      </c>
      <c r="C58" s="23">
        <v>40</v>
      </c>
      <c r="D58" s="25" t="s">
        <v>109</v>
      </c>
      <c r="F58" s="4" t="s">
        <v>121</v>
      </c>
      <c r="G58" s="21">
        <f>30*10^-9</f>
        <v>3.0000000000000004E-8</v>
      </c>
      <c r="H58" s="5" t="s">
        <v>123</v>
      </c>
    </row>
    <row r="59" spans="2:8" x14ac:dyDescent="0.3">
      <c r="B59" s="24" t="s">
        <v>110</v>
      </c>
      <c r="C59" s="23">
        <v>29</v>
      </c>
      <c r="D59" s="25" t="s">
        <v>111</v>
      </c>
      <c r="F59" s="4" t="s">
        <v>114</v>
      </c>
      <c r="G59" s="23">
        <f>($K$13/2)^2*$G$48*$K$14</f>
        <v>0.13500000000000001</v>
      </c>
      <c r="H59" s="5" t="s">
        <v>105</v>
      </c>
    </row>
    <row r="60" spans="2:8" x14ac:dyDescent="0.3">
      <c r="B60" s="26" t="s">
        <v>112</v>
      </c>
      <c r="C60" s="27">
        <f>(C57*C59)+C58</f>
        <v>146.69124128000004</v>
      </c>
      <c r="D60" s="28" t="s">
        <v>109</v>
      </c>
      <c r="F60" s="4" t="s">
        <v>133</v>
      </c>
      <c r="G60" s="22">
        <f>($K$10*$K$13/4)*($G$49*$G$57/(5.5-$G$52))+($K$10*$G$51)+($G$50*($K$10)^2)</f>
        <v>4.2690427000000008E-5</v>
      </c>
      <c r="H60" s="5" t="s">
        <v>105</v>
      </c>
    </row>
    <row r="61" spans="2:8" x14ac:dyDescent="0.3">
      <c r="F61" s="4" t="s">
        <v>120</v>
      </c>
      <c r="G61" s="23">
        <f>$G$60+$G$59</f>
        <v>0.13504269042700001</v>
      </c>
      <c r="H61" s="5" t="s">
        <v>105</v>
      </c>
    </row>
    <row r="62" spans="2:8" x14ac:dyDescent="0.3">
      <c r="F62" s="6" t="s">
        <v>124</v>
      </c>
      <c r="G62" s="27">
        <f>($K$13/2)^2*$G$48*(1-$K$14)+$G$53*$K$13/2*$G$58*$K$17</f>
        <v>0.20138130000000004</v>
      </c>
      <c r="H62" s="7" t="s">
        <v>105</v>
      </c>
    </row>
    <row r="64" spans="2:8" x14ac:dyDescent="0.3">
      <c r="F64" s="8" t="s">
        <v>125</v>
      </c>
      <c r="G64" s="9"/>
      <c r="H64" s="3"/>
    </row>
    <row r="65" spans="6:9" x14ac:dyDescent="0.3">
      <c r="F65" s="4" t="s">
        <v>117</v>
      </c>
      <c r="G65" s="21">
        <f>0.9+$G$48</f>
        <v>0.90410000000000001</v>
      </c>
      <c r="H65" s="5" t="s">
        <v>3</v>
      </c>
    </row>
    <row r="66" spans="6:9" x14ac:dyDescent="0.3">
      <c r="F66" s="4" t="s">
        <v>121</v>
      </c>
      <c r="G66" s="21">
        <f>30*10^-9</f>
        <v>3.0000000000000004E-8</v>
      </c>
      <c r="H66" s="5" t="s">
        <v>123</v>
      </c>
    </row>
    <row r="67" spans="6:9" x14ac:dyDescent="0.3">
      <c r="F67" s="4" t="s">
        <v>114</v>
      </c>
      <c r="G67" s="23">
        <f>($K$13)^2*$G$48*$K$14</f>
        <v>0.54</v>
      </c>
      <c r="H67" s="5" t="s">
        <v>105</v>
      </c>
    </row>
    <row r="68" spans="6:9" x14ac:dyDescent="0.3">
      <c r="F68" s="4" t="s">
        <v>116</v>
      </c>
      <c r="G68" s="22">
        <f>($K$10*$K$13/2)*($G$49*$G$57/(5.5-$G$52))+($K$10*$G$51)+($G$50*($K$10)^2)</f>
        <v>7.5482134000000013E-5</v>
      </c>
      <c r="H68" s="5" t="s">
        <v>105</v>
      </c>
    </row>
    <row r="69" spans="6:9" x14ac:dyDescent="0.3">
      <c r="F69" s="4" t="s">
        <v>120</v>
      </c>
      <c r="G69" s="23">
        <f>G67+G68</f>
        <v>0.54007548213400003</v>
      </c>
      <c r="H69" s="5" t="s">
        <v>105</v>
      </c>
      <c r="I69" s="17"/>
    </row>
    <row r="70" spans="6:9" x14ac:dyDescent="0.3">
      <c r="F70" s="6" t="s">
        <v>124</v>
      </c>
      <c r="G70" s="27">
        <f>($K$13)^2*$G$48*(1-$K$14)+$G$53*$K$13*$G$58*$K$17</f>
        <v>0.59401260000000011</v>
      </c>
      <c r="H70" s="7" t="s">
        <v>105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0D0AE-3D3C-4110-8B4E-EDD9B158BBDC}">
  <dimension ref="B4:M69"/>
  <sheetViews>
    <sheetView topLeftCell="A19" zoomScale="85" zoomScaleNormal="85" workbookViewId="0">
      <selection activeCell="K53" sqref="K53"/>
    </sheetView>
  </sheetViews>
  <sheetFormatPr defaultRowHeight="14.4" x14ac:dyDescent="0.3"/>
  <cols>
    <col min="2" max="2" width="31.5546875" bestFit="1" customWidth="1"/>
    <col min="3" max="3" width="12" bestFit="1" customWidth="1"/>
    <col min="6" max="6" width="30.44140625" bestFit="1" customWidth="1"/>
    <col min="7" max="7" width="18.44140625" bestFit="1" customWidth="1"/>
    <col min="9" max="9" width="19.109375" bestFit="1" customWidth="1"/>
    <col min="10" max="10" width="14.6640625" bestFit="1" customWidth="1"/>
    <col min="11" max="11" width="8.88671875" customWidth="1"/>
    <col min="12" max="12" width="5.33203125" bestFit="1" customWidth="1"/>
  </cols>
  <sheetData>
    <row r="4" spans="2:12" x14ac:dyDescent="0.3">
      <c r="B4" s="8" t="s">
        <v>0</v>
      </c>
      <c r="C4" s="9"/>
      <c r="D4" s="3"/>
      <c r="F4" s="8" t="s">
        <v>1</v>
      </c>
      <c r="G4" s="9"/>
      <c r="H4" s="3"/>
    </row>
    <row r="5" spans="2:12" x14ac:dyDescent="0.3">
      <c r="B5" s="6" t="s">
        <v>2</v>
      </c>
      <c r="C5" s="10">
        <f>56200</f>
        <v>56200</v>
      </c>
      <c r="D5" s="7" t="s">
        <v>3</v>
      </c>
      <c r="F5" s="4" t="s">
        <v>4</v>
      </c>
      <c r="G5" s="11">
        <f>C8/(K13+(C42/2))</f>
        <v>4.1228501056088471E-3</v>
      </c>
      <c r="H5" s="5" t="s">
        <v>3</v>
      </c>
    </row>
    <row r="6" spans="2:12" x14ac:dyDescent="0.3">
      <c r="F6" s="4" t="s">
        <v>5</v>
      </c>
      <c r="G6" s="11">
        <f>(K11*(1-(K11/K9)))/(C41*K17)</f>
        <v>2.3706794367265651</v>
      </c>
      <c r="H6" s="5" t="s">
        <v>6</v>
      </c>
    </row>
    <row r="7" spans="2:12" x14ac:dyDescent="0.3">
      <c r="B7" s="8" t="s">
        <v>7</v>
      </c>
      <c r="C7" s="9"/>
      <c r="D7" s="3"/>
      <c r="F7" s="4" t="s">
        <v>8</v>
      </c>
      <c r="G7" s="11">
        <f>G6*G5</f>
        <v>9.7739559660728406E-3</v>
      </c>
      <c r="H7" s="5" t="s">
        <v>9</v>
      </c>
    </row>
    <row r="8" spans="2:12" ht="15.6" x14ac:dyDescent="0.3">
      <c r="B8" s="4" t="s">
        <v>10</v>
      </c>
      <c r="C8">
        <v>7.4999999999999997E-2</v>
      </c>
      <c r="D8" s="5" t="s">
        <v>9</v>
      </c>
      <c r="F8" s="6" t="s">
        <v>11</v>
      </c>
      <c r="G8" s="10">
        <f>G5*(K13+(C42/2))</f>
        <v>7.4999999999999997E-2</v>
      </c>
      <c r="H8" s="7" t="s">
        <v>9</v>
      </c>
      <c r="J8" s="13" t="s">
        <v>12</v>
      </c>
      <c r="K8" s="13" t="s">
        <v>13</v>
      </c>
      <c r="L8" s="13" t="s">
        <v>14</v>
      </c>
    </row>
    <row r="9" spans="2:12" x14ac:dyDescent="0.3">
      <c r="B9" s="4" t="s">
        <v>15</v>
      </c>
      <c r="C9">
        <v>5.0000000000000004E-6</v>
      </c>
      <c r="D9" s="5" t="s">
        <v>6</v>
      </c>
      <c r="J9" s="1" t="s">
        <v>16</v>
      </c>
      <c r="K9" s="2">
        <v>30</v>
      </c>
      <c r="L9" s="2" t="s">
        <v>9</v>
      </c>
    </row>
    <row r="10" spans="2:12" x14ac:dyDescent="0.3">
      <c r="B10" s="6" t="s">
        <v>17</v>
      </c>
      <c r="C10" s="10">
        <f>C8/(C9*50)</f>
        <v>300</v>
      </c>
      <c r="D10" s="7" t="s">
        <v>18</v>
      </c>
      <c r="F10" s="8" t="s">
        <v>19</v>
      </c>
      <c r="G10" s="9"/>
      <c r="H10" s="3"/>
      <c r="J10" s="1" t="s">
        <v>20</v>
      </c>
      <c r="K10" s="2">
        <v>52</v>
      </c>
      <c r="L10" s="2" t="s">
        <v>9</v>
      </c>
    </row>
    <row r="11" spans="2:12" x14ac:dyDescent="0.3">
      <c r="F11" s="4" t="s">
        <v>21</v>
      </c>
      <c r="G11">
        <v>0.9</v>
      </c>
      <c r="H11" s="5" t="s">
        <v>22</v>
      </c>
      <c r="J11" s="1" t="s">
        <v>23</v>
      </c>
      <c r="K11" s="2">
        <v>24</v>
      </c>
      <c r="L11" s="2" t="s">
        <v>9</v>
      </c>
    </row>
    <row r="12" spans="2:12" x14ac:dyDescent="0.3">
      <c r="B12" s="8" t="s">
        <v>24</v>
      </c>
      <c r="C12" s="9"/>
      <c r="D12" s="3"/>
      <c r="F12" s="4" t="s">
        <v>25</v>
      </c>
      <c r="G12">
        <v>0.3</v>
      </c>
      <c r="H12" s="5" t="s">
        <v>9</v>
      </c>
      <c r="J12" s="1" t="s">
        <v>26</v>
      </c>
      <c r="K12" s="2">
        <v>30</v>
      </c>
      <c r="L12" s="2" t="s">
        <v>6</v>
      </c>
    </row>
    <row r="13" spans="2:12" x14ac:dyDescent="0.3">
      <c r="B13" s="4" t="s">
        <v>27</v>
      </c>
      <c r="C13" s="11">
        <v>1.1999999999999999E-7</v>
      </c>
      <c r="D13" s="5" t="s">
        <v>28</v>
      </c>
      <c r="F13" s="6" t="s">
        <v>29</v>
      </c>
      <c r="G13" s="10">
        <f>(K12*C38*(1-C38))/(G11*G12*K17)</f>
        <v>7.4588103105416415E-5</v>
      </c>
      <c r="H13" s="7" t="s">
        <v>30</v>
      </c>
      <c r="J13" s="1" t="s">
        <v>31</v>
      </c>
      <c r="K13" s="2">
        <f>K12/2</f>
        <v>15</v>
      </c>
      <c r="L13" s="2" t="s">
        <v>6</v>
      </c>
    </row>
    <row r="14" spans="2:12" x14ac:dyDescent="0.3">
      <c r="B14" s="4" t="s">
        <v>32</v>
      </c>
      <c r="C14" s="11">
        <v>1.55E-7</v>
      </c>
      <c r="D14" s="5" t="s">
        <v>28</v>
      </c>
      <c r="J14" s="1" t="s">
        <v>33</v>
      </c>
      <c r="K14" s="2">
        <f>C38</f>
        <v>0.58536585365853655</v>
      </c>
      <c r="L14" s="2"/>
    </row>
    <row r="15" spans="2:12" x14ac:dyDescent="0.3">
      <c r="B15" s="4" t="s">
        <v>34</v>
      </c>
      <c r="C15" s="11">
        <f>K18</f>
        <v>750000</v>
      </c>
      <c r="D15" s="5" t="s">
        <v>35</v>
      </c>
      <c r="F15" s="8" t="s">
        <v>36</v>
      </c>
      <c r="G15" s="9"/>
      <c r="H15" s="3"/>
      <c r="J15" s="1" t="s">
        <v>37</v>
      </c>
      <c r="K15" s="2">
        <f>G45</f>
        <v>7.7999999999999996E-3</v>
      </c>
      <c r="L15" s="2" t="s">
        <v>3</v>
      </c>
    </row>
    <row r="16" spans="2:12" x14ac:dyDescent="0.3">
      <c r="B16" s="4" t="s">
        <v>38</v>
      </c>
      <c r="C16">
        <f>((K11+K12*(K15+C43))/(1-C15*C13))+(K12*K15*K16)</f>
        <v>26.778968057142855</v>
      </c>
      <c r="D16" s="5" t="s">
        <v>9</v>
      </c>
      <c r="F16" s="4" t="s">
        <v>39</v>
      </c>
      <c r="G16">
        <v>2.5000000000000001E-2</v>
      </c>
      <c r="H16" s="5" t="s">
        <v>9</v>
      </c>
      <c r="J16" s="1" t="s">
        <v>40</v>
      </c>
      <c r="K16" s="2">
        <f>G45</f>
        <v>7.7999999999999996E-3</v>
      </c>
      <c r="L16" s="2" t="s">
        <v>3</v>
      </c>
    </row>
    <row r="17" spans="2:12" x14ac:dyDescent="0.3">
      <c r="B17" s="6" t="s">
        <v>41</v>
      </c>
      <c r="C17" s="10">
        <f>K11/(K18*C14)</f>
        <v>206.45161290322582</v>
      </c>
      <c r="D17" s="7" t="s">
        <v>9</v>
      </c>
      <c r="F17" s="4" t="s">
        <v>42</v>
      </c>
      <c r="G17">
        <f>G16-G18</f>
        <v>1.2500000000000001E-2</v>
      </c>
      <c r="H17" s="5" t="s">
        <v>9</v>
      </c>
      <c r="J17" s="14" t="s">
        <v>43</v>
      </c>
      <c r="K17" s="2">
        <f>C5*8.8-133000</f>
        <v>361560.00000000006</v>
      </c>
      <c r="L17" s="2" t="s">
        <v>35</v>
      </c>
    </row>
    <row r="18" spans="2:12" x14ac:dyDescent="0.3">
      <c r="F18" s="4" t="s">
        <v>44</v>
      </c>
      <c r="G18">
        <f>G16*0.5</f>
        <v>1.2500000000000001E-2</v>
      </c>
      <c r="H18" s="5" t="s">
        <v>9</v>
      </c>
      <c r="J18" s="14" t="s">
        <v>45</v>
      </c>
      <c r="K18" s="2">
        <v>750000</v>
      </c>
      <c r="L18" s="2" t="s">
        <v>35</v>
      </c>
    </row>
    <row r="19" spans="2:12" x14ac:dyDescent="0.3">
      <c r="B19" s="8" t="s">
        <v>46</v>
      </c>
      <c r="C19" s="9"/>
      <c r="D19" s="3"/>
      <c r="F19" s="4" t="s">
        <v>47</v>
      </c>
      <c r="G19" s="11">
        <f>G17/C42</f>
        <v>1.9584500000000005E-3</v>
      </c>
      <c r="H19" s="5" t="s">
        <v>48</v>
      </c>
      <c r="J19" s="18" t="s">
        <v>107</v>
      </c>
      <c r="K19" s="19">
        <v>3.5000000000000001E-3</v>
      </c>
      <c r="L19" s="20" t="s">
        <v>6</v>
      </c>
    </row>
    <row r="20" spans="2:12" x14ac:dyDescent="0.3">
      <c r="B20" s="4" t="s">
        <v>49</v>
      </c>
      <c r="D20" s="5"/>
      <c r="F20" s="6" t="s">
        <v>50</v>
      </c>
      <c r="G20" s="12">
        <f>C42/(8*K17*G18)</f>
        <v>1.7652944140653275E-4</v>
      </c>
      <c r="H20" s="7" t="s">
        <v>51</v>
      </c>
    </row>
    <row r="21" spans="2:12" x14ac:dyDescent="0.3">
      <c r="B21" s="4" t="s">
        <v>52</v>
      </c>
      <c r="C21">
        <v>25</v>
      </c>
      <c r="D21" s="5" t="s">
        <v>9</v>
      </c>
    </row>
    <row r="22" spans="2:12" x14ac:dyDescent="0.3">
      <c r="B22" s="4" t="s">
        <v>53</v>
      </c>
      <c r="C22">
        <f>(C21-1.25)/1.25*C23</f>
        <v>190000</v>
      </c>
      <c r="D22" s="5" t="s">
        <v>3</v>
      </c>
      <c r="F22" s="8" t="s">
        <v>54</v>
      </c>
      <c r="G22" s="9"/>
      <c r="H22" s="3"/>
    </row>
    <row r="23" spans="2:12" x14ac:dyDescent="0.3">
      <c r="B23" s="6" t="s">
        <v>55</v>
      </c>
      <c r="C23" s="10">
        <v>10000</v>
      </c>
      <c r="D23" s="7" t="s">
        <v>3</v>
      </c>
      <c r="F23" s="4" t="s">
        <v>56</v>
      </c>
      <c r="G23">
        <f>K17/15</f>
        <v>24104.000000000004</v>
      </c>
      <c r="H23" s="5" t="s">
        <v>35</v>
      </c>
    </row>
    <row r="24" spans="2:12" x14ac:dyDescent="0.3">
      <c r="F24" s="4" t="s">
        <v>50</v>
      </c>
      <c r="G24">
        <f>G20</f>
        <v>1.7652944140653275E-4</v>
      </c>
      <c r="H24" s="5" t="s">
        <v>51</v>
      </c>
    </row>
    <row r="25" spans="2:12" x14ac:dyDescent="0.3">
      <c r="B25" s="8" t="s">
        <v>57</v>
      </c>
      <c r="C25" s="9"/>
      <c r="D25" s="3"/>
      <c r="F25" s="4" t="s">
        <v>58</v>
      </c>
      <c r="G25">
        <v>13.3</v>
      </c>
      <c r="H25" s="5" t="s">
        <v>59</v>
      </c>
    </row>
    <row r="26" spans="2:12" x14ac:dyDescent="0.3">
      <c r="B26" s="4" t="s">
        <v>60</v>
      </c>
      <c r="D26" s="5"/>
      <c r="F26" s="4" t="s">
        <v>4</v>
      </c>
      <c r="G26">
        <v>5.0000000000000001E-3</v>
      </c>
      <c r="H26" s="5" t="s">
        <v>3</v>
      </c>
    </row>
    <row r="27" spans="2:12" x14ac:dyDescent="0.3">
      <c r="B27" s="4" t="s">
        <v>61</v>
      </c>
      <c r="C27">
        <f>0.001*K11</f>
        <v>2.4E-2</v>
      </c>
      <c r="D27" s="5"/>
      <c r="F27" s="4" t="s">
        <v>62</v>
      </c>
      <c r="G27">
        <v>2E-3</v>
      </c>
      <c r="H27" s="5" t="s">
        <v>63</v>
      </c>
    </row>
    <row r="28" spans="2:12" x14ac:dyDescent="0.3">
      <c r="B28" s="4" t="s">
        <v>64</v>
      </c>
      <c r="C28" s="11">
        <v>9.9999999999999995E-8</v>
      </c>
      <c r="D28" s="5" t="s">
        <v>6</v>
      </c>
      <c r="F28" s="4" t="s">
        <v>65</v>
      </c>
      <c r="G28">
        <f>0.8/K11</f>
        <v>3.3333333333333333E-2</v>
      </c>
      <c r="H28" s="5" t="s">
        <v>59</v>
      </c>
    </row>
    <row r="29" spans="2:12" x14ac:dyDescent="0.3">
      <c r="B29" s="4" t="s">
        <v>66</v>
      </c>
      <c r="C29">
        <f>C27/C28</f>
        <v>240000.00000000003</v>
      </c>
      <c r="D29" s="5" t="s">
        <v>3</v>
      </c>
      <c r="F29" s="4" t="s">
        <v>67</v>
      </c>
      <c r="G29">
        <f>(2*PI()*G23*G24*G25*G26)/(G27*G28)</f>
        <v>26668.527593724786</v>
      </c>
      <c r="H29" s="5" t="s">
        <v>3</v>
      </c>
    </row>
    <row r="30" spans="2:12" x14ac:dyDescent="0.3">
      <c r="B30" s="4" t="s">
        <v>53</v>
      </c>
      <c r="C30">
        <v>187000</v>
      </c>
      <c r="D30" s="5" t="s">
        <v>3</v>
      </c>
      <c r="F30" s="4" t="s">
        <v>68</v>
      </c>
      <c r="G30">
        <f>1/(2*PI()*G24*(K11/K13))</f>
        <v>563.48583352370747</v>
      </c>
      <c r="H30" s="5" t="s">
        <v>35</v>
      </c>
    </row>
    <row r="31" spans="2:12" x14ac:dyDescent="0.3">
      <c r="B31" s="6" t="s">
        <v>55</v>
      </c>
      <c r="C31" s="10">
        <f>C30/((K11/0.8)-1)</f>
        <v>6448.2758620689656</v>
      </c>
      <c r="D31" s="7" t="s">
        <v>3</v>
      </c>
      <c r="F31" s="4" t="s">
        <v>69</v>
      </c>
      <c r="G31">
        <f>1/(2*PI()*G30*G29)</f>
        <v>1.0591027392037698E-8</v>
      </c>
      <c r="H31" s="5" t="s">
        <v>51</v>
      </c>
    </row>
    <row r="32" spans="2:12" x14ac:dyDescent="0.3">
      <c r="F32" s="4" t="s">
        <v>70</v>
      </c>
      <c r="G32">
        <f>K17/2</f>
        <v>180780.00000000003</v>
      </c>
      <c r="H32" s="5" t="s">
        <v>35</v>
      </c>
    </row>
    <row r="33" spans="2:13" x14ac:dyDescent="0.3">
      <c r="B33" s="8" t="s">
        <v>71</v>
      </c>
      <c r="C33" s="9"/>
      <c r="D33" s="3"/>
      <c r="F33" s="6" t="s">
        <v>72</v>
      </c>
      <c r="G33" s="10">
        <f>1/(2*PI()*G29*G32)</f>
        <v>3.3011914469934609E-11</v>
      </c>
      <c r="H33" s="7" t="s">
        <v>51</v>
      </c>
      <c r="M33" s="11"/>
    </row>
    <row r="34" spans="2:13" x14ac:dyDescent="0.3">
      <c r="B34" s="4" t="s">
        <v>73</v>
      </c>
      <c r="C34">
        <v>1E-3</v>
      </c>
      <c r="D34" s="5" t="s">
        <v>28</v>
      </c>
      <c r="J34" s="11"/>
      <c r="M34" s="11"/>
    </row>
    <row r="35" spans="2:13" x14ac:dyDescent="0.3">
      <c r="B35" s="6" t="s">
        <v>74</v>
      </c>
      <c r="C35" s="10">
        <f>C34*5/0.8</f>
        <v>6.2499999999999995E-3</v>
      </c>
      <c r="D35" s="7" t="s">
        <v>75</v>
      </c>
      <c r="F35" s="29" t="s">
        <v>76</v>
      </c>
      <c r="G35" s="30"/>
      <c r="H35" s="31"/>
      <c r="J35" s="11"/>
    </row>
    <row r="36" spans="2:13" x14ac:dyDescent="0.3">
      <c r="F36" s="24" t="s">
        <v>79</v>
      </c>
      <c r="G36" s="32">
        <f>G46</f>
        <v>8.0000000000000002E-8</v>
      </c>
      <c r="H36" s="33" t="s">
        <v>30</v>
      </c>
      <c r="M36" s="11"/>
    </row>
    <row r="37" spans="2:13" x14ac:dyDescent="0.3">
      <c r="B37" s="8" t="s">
        <v>77</v>
      </c>
      <c r="C37" s="9" t="s">
        <v>78</v>
      </c>
      <c r="D37" s="3"/>
      <c r="F37" s="24" t="s">
        <v>80</v>
      </c>
      <c r="G37" s="34">
        <v>0.125</v>
      </c>
      <c r="H37" s="33" t="s">
        <v>9</v>
      </c>
      <c r="J37" s="11"/>
    </row>
    <row r="38" spans="2:13" x14ac:dyDescent="0.3">
      <c r="B38" s="4" t="s">
        <v>33</v>
      </c>
      <c r="C38" s="21">
        <f>K11/((K9+K10)/2)</f>
        <v>0.58536585365853655</v>
      </c>
      <c r="D38" s="5"/>
      <c r="F38" s="35" t="s">
        <v>82</v>
      </c>
      <c r="G38" s="34"/>
      <c r="H38" s="33"/>
    </row>
    <row r="39" spans="2:13" x14ac:dyDescent="0.3">
      <c r="B39" s="4" t="s">
        <v>81</v>
      </c>
      <c r="C39" s="21">
        <v>0.24</v>
      </c>
      <c r="D39" s="5"/>
      <c r="F39" s="26" t="s">
        <v>85</v>
      </c>
      <c r="G39" s="36">
        <f>G36/G37</f>
        <v>6.4000000000000001E-7</v>
      </c>
      <c r="H39" s="37" t="s">
        <v>51</v>
      </c>
    </row>
    <row r="40" spans="2:13" x14ac:dyDescent="0.3">
      <c r="B40" s="4" t="s">
        <v>83</v>
      </c>
      <c r="C40" s="21">
        <f>(K11*(1-C38))/(C39*K13*K17)</f>
        <v>7.6452805683051869E-6</v>
      </c>
      <c r="D40" s="5" t="s">
        <v>84</v>
      </c>
    </row>
    <row r="41" spans="2:13" x14ac:dyDescent="0.3">
      <c r="B41" s="4" t="s">
        <v>86</v>
      </c>
      <c r="C41" s="22">
        <v>5.5999999999999997E-6</v>
      </c>
      <c r="D41" s="5" t="s">
        <v>84</v>
      </c>
      <c r="F41" s="8" t="s">
        <v>88</v>
      </c>
      <c r="G41" s="9"/>
      <c r="H41" s="3"/>
    </row>
    <row r="42" spans="2:13" x14ac:dyDescent="0.3">
      <c r="B42" s="4" t="s">
        <v>87</v>
      </c>
      <c r="C42" s="22">
        <f>(K11*(1-K11/K10))/(C41*K17)</f>
        <v>6.3825984834945997</v>
      </c>
      <c r="D42" s="5" t="s">
        <v>6</v>
      </c>
      <c r="F42" s="4" t="s">
        <v>93</v>
      </c>
      <c r="G42" s="21">
        <v>100</v>
      </c>
      <c r="H42" s="5" t="s">
        <v>9</v>
      </c>
    </row>
    <row r="43" spans="2:13" x14ac:dyDescent="0.3">
      <c r="B43" s="4" t="s">
        <v>90</v>
      </c>
      <c r="C43" s="21">
        <v>4.4400000000000004E-3</v>
      </c>
      <c r="D43" s="5" t="s">
        <v>3</v>
      </c>
      <c r="F43" s="4" t="s">
        <v>99</v>
      </c>
      <c r="G43" s="21">
        <v>263</v>
      </c>
      <c r="H43" s="5" t="s">
        <v>100</v>
      </c>
    </row>
    <row r="44" spans="2:13" x14ac:dyDescent="0.3">
      <c r="B44" s="4" t="s">
        <v>92</v>
      </c>
      <c r="C44" s="22">
        <f>K13+C42</f>
        <v>21.382598483494601</v>
      </c>
      <c r="D44" s="5" t="s">
        <v>6</v>
      </c>
      <c r="F44" s="4" t="s">
        <v>102</v>
      </c>
      <c r="G44" s="21">
        <v>100</v>
      </c>
      <c r="H44" s="5" t="s">
        <v>103</v>
      </c>
    </row>
    <row r="45" spans="2:13" x14ac:dyDescent="0.3">
      <c r="B45" s="4" t="s">
        <v>94</v>
      </c>
      <c r="C45" s="22">
        <f>(K13+(C42/2))*0.005</f>
        <v>9.0956496208736498E-2</v>
      </c>
      <c r="D45" s="5"/>
      <c r="F45" s="8" t="s">
        <v>127</v>
      </c>
      <c r="G45" s="9">
        <v>7.7999999999999996E-3</v>
      </c>
      <c r="H45" s="3" t="s">
        <v>3</v>
      </c>
    </row>
    <row r="46" spans="2:13" x14ac:dyDescent="0.3">
      <c r="B46" s="4" t="s">
        <v>96</v>
      </c>
      <c r="C46" s="21">
        <v>21</v>
      </c>
      <c r="D46" s="5" t="s">
        <v>6</v>
      </c>
      <c r="F46" s="16" t="s">
        <v>132</v>
      </c>
      <c r="G46" s="22">
        <f>80*10^-9</f>
        <v>8.0000000000000002E-8</v>
      </c>
      <c r="H46" s="5" t="s">
        <v>30</v>
      </c>
    </row>
    <row r="47" spans="2:13" x14ac:dyDescent="0.3">
      <c r="B47" s="4" t="s">
        <v>98</v>
      </c>
      <c r="C47" s="23">
        <f>C45/(50*C9)</f>
        <v>363.82598483494598</v>
      </c>
      <c r="D47" s="5"/>
      <c r="F47" s="35" t="s">
        <v>130</v>
      </c>
      <c r="G47" s="21">
        <f>590*10^-12</f>
        <v>5.9000000000000003E-10</v>
      </c>
      <c r="H47" s="33" t="s">
        <v>51</v>
      </c>
    </row>
    <row r="48" spans="2:13" x14ac:dyDescent="0.3">
      <c r="B48" s="6" t="s">
        <v>101</v>
      </c>
      <c r="C48" s="12">
        <f>0.005*(15+(C42/2))</f>
        <v>9.0956496208736498E-2</v>
      </c>
      <c r="D48" s="7"/>
      <c r="F48" s="35" t="s">
        <v>129</v>
      </c>
      <c r="G48" s="22">
        <f>225*10^-9</f>
        <v>2.2500000000000002E-7</v>
      </c>
      <c r="H48" s="33" t="s">
        <v>51</v>
      </c>
    </row>
    <row r="49" spans="2:8" x14ac:dyDescent="0.3">
      <c r="F49" s="35" t="s">
        <v>131</v>
      </c>
      <c r="G49" s="21">
        <v>8</v>
      </c>
      <c r="H49" s="5" t="s">
        <v>9</v>
      </c>
    </row>
    <row r="50" spans="2:8" x14ac:dyDescent="0.3">
      <c r="B50" s="8" t="s">
        <v>104</v>
      </c>
      <c r="C50" s="9"/>
      <c r="D50" s="3"/>
      <c r="F50" s="39" t="s">
        <v>128</v>
      </c>
      <c r="G50" s="38">
        <v>1.2</v>
      </c>
      <c r="H50" s="37" t="s">
        <v>9</v>
      </c>
    </row>
    <row r="51" spans="2:8" x14ac:dyDescent="0.3">
      <c r="B51" s="4" t="s">
        <v>106</v>
      </c>
      <c r="C51" s="23">
        <f>$K$10*(($G$36*4*$K$17)+$K$19)</f>
        <v>6.1983584000000009</v>
      </c>
      <c r="D51" s="5" t="s">
        <v>105</v>
      </c>
    </row>
    <row r="52" spans="2:8" x14ac:dyDescent="0.3">
      <c r="B52" s="24" t="s">
        <v>108</v>
      </c>
      <c r="C52" s="23">
        <v>40</v>
      </c>
      <c r="D52" s="25" t="s">
        <v>109</v>
      </c>
    </row>
    <row r="53" spans="2:8" x14ac:dyDescent="0.3">
      <c r="B53" s="24" t="s">
        <v>110</v>
      </c>
      <c r="C53" s="23">
        <v>29</v>
      </c>
      <c r="D53" s="25" t="s">
        <v>111</v>
      </c>
      <c r="F53" s="8" t="s">
        <v>113</v>
      </c>
      <c r="G53" s="9"/>
      <c r="H53" s="3"/>
    </row>
    <row r="54" spans="2:8" x14ac:dyDescent="0.3">
      <c r="B54" s="26" t="s">
        <v>112</v>
      </c>
      <c r="C54" s="27">
        <f>(C51*C53)+C52</f>
        <v>219.75239360000003</v>
      </c>
      <c r="D54" s="28" t="s">
        <v>109</v>
      </c>
      <c r="F54" s="4" t="s">
        <v>117</v>
      </c>
      <c r="G54" s="21">
        <f>0.9+$G$45</f>
        <v>0.90780000000000005</v>
      </c>
      <c r="H54" s="5" t="s">
        <v>3</v>
      </c>
    </row>
    <row r="55" spans="2:8" x14ac:dyDescent="0.3">
      <c r="F55" s="4" t="s">
        <v>121</v>
      </c>
      <c r="G55" s="21">
        <f>30*10^-9</f>
        <v>3.0000000000000004E-8</v>
      </c>
      <c r="H55" s="5" t="s">
        <v>123</v>
      </c>
    </row>
    <row r="56" spans="2:8" x14ac:dyDescent="0.3">
      <c r="B56" s="8" t="s">
        <v>126</v>
      </c>
      <c r="C56" s="9"/>
      <c r="D56" s="3"/>
      <c r="F56" s="4" t="s">
        <v>114</v>
      </c>
      <c r="G56" s="23">
        <f>($K$13/2)^2*$G$45*$K$14</f>
        <v>0.25682926829268288</v>
      </c>
      <c r="H56" s="5" t="s">
        <v>105</v>
      </c>
    </row>
    <row r="57" spans="2:8" x14ac:dyDescent="0.3">
      <c r="B57" s="4" t="s">
        <v>106</v>
      </c>
      <c r="C57" s="23">
        <f>$K$10*(($G$36*2*$K$17)+$K$19)</f>
        <v>3.1901792000000007</v>
      </c>
      <c r="D57" s="5" t="s">
        <v>105</v>
      </c>
      <c r="F57" s="4" t="s">
        <v>133</v>
      </c>
      <c r="G57" s="22">
        <f>($K$10*$K$13/4)*($G$46*$G$54/(5.5-$G$49))+($K$10*$G$48)+($G$47*($K$10)^2)</f>
        <v>7.6306880000000018E-6</v>
      </c>
      <c r="H57" s="5" t="s">
        <v>105</v>
      </c>
    </row>
    <row r="58" spans="2:8" x14ac:dyDescent="0.3">
      <c r="B58" s="24" t="s">
        <v>108</v>
      </c>
      <c r="C58" s="23">
        <v>40</v>
      </c>
      <c r="D58" s="25" t="s">
        <v>109</v>
      </c>
      <c r="F58" s="4" t="s">
        <v>120</v>
      </c>
      <c r="G58" s="23">
        <f>$G$57+$G$56</f>
        <v>0.2568368989806829</v>
      </c>
      <c r="H58" s="5" t="s">
        <v>105</v>
      </c>
    </row>
    <row r="59" spans="2:8" x14ac:dyDescent="0.3">
      <c r="B59" s="24" t="s">
        <v>110</v>
      </c>
      <c r="C59" s="23">
        <v>29</v>
      </c>
      <c r="D59" s="25" t="s">
        <v>111</v>
      </c>
      <c r="F59" s="6" t="s">
        <v>124</v>
      </c>
      <c r="G59" s="27">
        <f>($K$13/2)^2*$G$45*(1-$K$14)+$G$50*$K$13/2*$G$55*$K$17</f>
        <v>0.27954193170731712</v>
      </c>
      <c r="H59" s="7" t="s">
        <v>105</v>
      </c>
    </row>
    <row r="60" spans="2:8" x14ac:dyDescent="0.3">
      <c r="B60" s="26" t="s">
        <v>112</v>
      </c>
      <c r="C60" s="27">
        <f>(C57*C59)+C58</f>
        <v>132.51519680000001</v>
      </c>
      <c r="D60" s="28" t="s">
        <v>109</v>
      </c>
    </row>
    <row r="61" spans="2:8" x14ac:dyDescent="0.3">
      <c r="F61" s="8" t="s">
        <v>125</v>
      </c>
      <c r="G61" s="9"/>
      <c r="H61" s="3"/>
    </row>
    <row r="62" spans="2:8" x14ac:dyDescent="0.3">
      <c r="F62" s="4" t="s">
        <v>117</v>
      </c>
      <c r="G62" s="21">
        <f>0.9+$G$45</f>
        <v>0.90780000000000005</v>
      </c>
      <c r="H62" s="5" t="s">
        <v>3</v>
      </c>
    </row>
    <row r="63" spans="2:8" x14ac:dyDescent="0.3">
      <c r="F63" s="4" t="s">
        <v>121</v>
      </c>
      <c r="G63" s="21">
        <f>30*10^-9</f>
        <v>3.0000000000000004E-8</v>
      </c>
      <c r="H63" s="5" t="s">
        <v>123</v>
      </c>
    </row>
    <row r="64" spans="2:8" x14ac:dyDescent="0.3">
      <c r="F64" s="4" t="s">
        <v>114</v>
      </c>
      <c r="G64" s="23">
        <f>($K$13)^2*$G$45*$K$14</f>
        <v>1.0273170731707315</v>
      </c>
      <c r="H64" s="5" t="s">
        <v>105</v>
      </c>
    </row>
    <row r="65" spans="6:9" x14ac:dyDescent="0.3">
      <c r="F65" s="4" t="s">
        <v>116</v>
      </c>
      <c r="G65" s="22">
        <f>($K$10*$K$13/2)*($G$46*$G$54/(5.5-$G$49))+($K$10*$G$48)+($G$47*($K$10)^2)</f>
        <v>1.9660160000000012E-6</v>
      </c>
      <c r="H65" s="5" t="s">
        <v>105</v>
      </c>
    </row>
    <row r="66" spans="6:9" x14ac:dyDescent="0.3">
      <c r="F66" s="4" t="s">
        <v>120</v>
      </c>
      <c r="G66" s="23">
        <f>G64+G65</f>
        <v>1.0273190391867315</v>
      </c>
      <c r="H66" s="5" t="s">
        <v>105</v>
      </c>
    </row>
    <row r="67" spans="6:9" x14ac:dyDescent="0.3">
      <c r="F67" s="6" t="s">
        <v>124</v>
      </c>
      <c r="G67" s="27">
        <f>($K$13)^2*$G$45*(1-$K$14)+$G$50*$K$13*$G$55*$K$17</f>
        <v>0.92292532682926831</v>
      </c>
      <c r="H67" s="7" t="s">
        <v>105</v>
      </c>
    </row>
    <row r="69" spans="6:9" x14ac:dyDescent="0.3">
      <c r="I69" s="1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070AF-BCE1-4EEC-8D1A-DFA5447E3C84}">
  <dimension ref="B4:M69"/>
  <sheetViews>
    <sheetView topLeftCell="A19" zoomScale="85" zoomScaleNormal="85" workbookViewId="0">
      <selection activeCell="J59" sqref="J59:J60"/>
    </sheetView>
  </sheetViews>
  <sheetFormatPr defaultRowHeight="14.4" x14ac:dyDescent="0.3"/>
  <cols>
    <col min="2" max="2" width="31.5546875" bestFit="1" customWidth="1"/>
    <col min="3" max="3" width="12" bestFit="1" customWidth="1"/>
    <col min="6" max="6" width="30.44140625" bestFit="1" customWidth="1"/>
    <col min="7" max="7" width="18.44140625" bestFit="1" customWidth="1"/>
    <col min="9" max="9" width="19.109375" bestFit="1" customWidth="1"/>
    <col min="10" max="10" width="14.6640625" bestFit="1" customWidth="1"/>
    <col min="11" max="11" width="8.88671875" customWidth="1"/>
    <col min="12" max="12" width="5.33203125" bestFit="1" customWidth="1"/>
  </cols>
  <sheetData>
    <row r="4" spans="2:12" x14ac:dyDescent="0.3">
      <c r="B4" s="8" t="s">
        <v>0</v>
      </c>
      <c r="C4" s="9"/>
      <c r="D4" s="3"/>
      <c r="F4" s="8" t="s">
        <v>1</v>
      </c>
      <c r="G4" s="9"/>
      <c r="H4" s="3"/>
    </row>
    <row r="5" spans="2:12" x14ac:dyDescent="0.3">
      <c r="B5" s="6" t="s">
        <v>2</v>
      </c>
      <c r="C5" s="10">
        <f>56200</f>
        <v>56200</v>
      </c>
      <c r="D5" s="7" t="s">
        <v>3</v>
      </c>
      <c r="F5" s="4" t="s">
        <v>4</v>
      </c>
      <c r="G5" s="11">
        <f>C8/(K13+(C42/2))</f>
        <v>4.1228501056088471E-3</v>
      </c>
      <c r="H5" s="5" t="s">
        <v>3</v>
      </c>
    </row>
    <row r="6" spans="2:12" x14ac:dyDescent="0.3">
      <c r="F6" s="4" t="s">
        <v>5</v>
      </c>
      <c r="G6" s="11">
        <f>(K11*(1-(K11/K9)))/(C41*K17)</f>
        <v>2.3706794367265651</v>
      </c>
      <c r="H6" s="5" t="s">
        <v>6</v>
      </c>
    </row>
    <row r="7" spans="2:12" x14ac:dyDescent="0.3">
      <c r="B7" s="8" t="s">
        <v>7</v>
      </c>
      <c r="C7" s="9"/>
      <c r="D7" s="3"/>
      <c r="F7" s="4" t="s">
        <v>8</v>
      </c>
      <c r="G7" s="11">
        <f>G6*G5</f>
        <v>9.7739559660728406E-3</v>
      </c>
      <c r="H7" s="5" t="s">
        <v>9</v>
      </c>
    </row>
    <row r="8" spans="2:12" ht="15.6" x14ac:dyDescent="0.3">
      <c r="B8" s="4" t="s">
        <v>10</v>
      </c>
      <c r="C8">
        <v>7.4999999999999997E-2</v>
      </c>
      <c r="D8" s="5" t="s">
        <v>9</v>
      </c>
      <c r="F8" s="6" t="s">
        <v>11</v>
      </c>
      <c r="G8" s="10">
        <f>G5*(K13+(C42/2))</f>
        <v>7.4999999999999997E-2</v>
      </c>
      <c r="H8" s="7" t="s">
        <v>9</v>
      </c>
      <c r="J8" s="13" t="s">
        <v>12</v>
      </c>
      <c r="K8" s="13" t="s">
        <v>13</v>
      </c>
      <c r="L8" s="13" t="s">
        <v>14</v>
      </c>
    </row>
    <row r="9" spans="2:12" x14ac:dyDescent="0.3">
      <c r="B9" s="4" t="s">
        <v>15</v>
      </c>
      <c r="C9">
        <v>5.0000000000000004E-6</v>
      </c>
      <c r="D9" s="5" t="s">
        <v>6</v>
      </c>
      <c r="J9" s="1" t="s">
        <v>16</v>
      </c>
      <c r="K9" s="2">
        <v>30</v>
      </c>
      <c r="L9" s="2" t="s">
        <v>9</v>
      </c>
    </row>
    <row r="10" spans="2:12" x14ac:dyDescent="0.3">
      <c r="B10" s="6" t="s">
        <v>17</v>
      </c>
      <c r="C10" s="10">
        <f>C8/(C9*50)</f>
        <v>300</v>
      </c>
      <c r="D10" s="7" t="s">
        <v>18</v>
      </c>
      <c r="F10" s="8" t="s">
        <v>19</v>
      </c>
      <c r="G10" s="9"/>
      <c r="H10" s="3"/>
      <c r="J10" s="1" t="s">
        <v>20</v>
      </c>
      <c r="K10" s="2">
        <v>52</v>
      </c>
      <c r="L10" s="2" t="s">
        <v>9</v>
      </c>
    </row>
    <row r="11" spans="2:12" x14ac:dyDescent="0.3">
      <c r="F11" s="4" t="s">
        <v>21</v>
      </c>
      <c r="G11">
        <v>0.9</v>
      </c>
      <c r="H11" s="5" t="s">
        <v>22</v>
      </c>
      <c r="J11" s="1" t="s">
        <v>23</v>
      </c>
      <c r="K11" s="2">
        <v>24</v>
      </c>
      <c r="L11" s="2" t="s">
        <v>9</v>
      </c>
    </row>
    <row r="12" spans="2:12" x14ac:dyDescent="0.3">
      <c r="B12" s="8" t="s">
        <v>24</v>
      </c>
      <c r="C12" s="9"/>
      <c r="D12" s="3"/>
      <c r="F12" s="4" t="s">
        <v>25</v>
      </c>
      <c r="G12">
        <v>0.3</v>
      </c>
      <c r="H12" s="5" t="s">
        <v>9</v>
      </c>
      <c r="J12" s="1" t="s">
        <v>26</v>
      </c>
      <c r="K12" s="2">
        <v>30</v>
      </c>
      <c r="L12" s="2" t="s">
        <v>6</v>
      </c>
    </row>
    <row r="13" spans="2:12" x14ac:dyDescent="0.3">
      <c r="B13" s="4" t="s">
        <v>27</v>
      </c>
      <c r="C13" s="11">
        <v>1.1999999999999999E-7</v>
      </c>
      <c r="D13" s="5" t="s">
        <v>28</v>
      </c>
      <c r="F13" s="6" t="s">
        <v>29</v>
      </c>
      <c r="G13" s="10">
        <f>(K12*C38*(1-C38))/(G11*G12*K17)</f>
        <v>7.4588103105416415E-5</v>
      </c>
      <c r="H13" s="7" t="s">
        <v>30</v>
      </c>
      <c r="J13" s="1" t="s">
        <v>31</v>
      </c>
      <c r="K13" s="2">
        <f>K12/2</f>
        <v>15</v>
      </c>
      <c r="L13" s="2" t="s">
        <v>6</v>
      </c>
    </row>
    <row r="14" spans="2:12" x14ac:dyDescent="0.3">
      <c r="B14" s="4" t="s">
        <v>32</v>
      </c>
      <c r="C14" s="11">
        <v>1.55E-7</v>
      </c>
      <c r="D14" s="5" t="s">
        <v>28</v>
      </c>
      <c r="J14" s="1" t="s">
        <v>33</v>
      </c>
      <c r="K14" s="2">
        <f>C38</f>
        <v>0.58536585365853655</v>
      </c>
      <c r="L14" s="2"/>
    </row>
    <row r="15" spans="2:12" x14ac:dyDescent="0.3">
      <c r="B15" s="4" t="s">
        <v>34</v>
      </c>
      <c r="C15" s="11">
        <f>K18</f>
        <v>750000</v>
      </c>
      <c r="D15" s="5" t="s">
        <v>35</v>
      </c>
      <c r="F15" s="8" t="s">
        <v>36</v>
      </c>
      <c r="G15" s="9"/>
      <c r="H15" s="3"/>
      <c r="J15" s="1" t="s">
        <v>37</v>
      </c>
      <c r="K15" s="2">
        <f>G45</f>
        <v>6.4999999999999997E-3</v>
      </c>
      <c r="L15" s="2" t="s">
        <v>3</v>
      </c>
    </row>
    <row r="16" spans="2:12" x14ac:dyDescent="0.3">
      <c r="B16" s="4" t="s">
        <v>38</v>
      </c>
      <c r="C16">
        <f>((K11+K12*(K15+C43))/(1-C15*C13))+(K12*K15*K16)</f>
        <v>26.735553214285712</v>
      </c>
      <c r="D16" s="5" t="s">
        <v>9</v>
      </c>
      <c r="F16" s="4" t="s">
        <v>39</v>
      </c>
      <c r="G16">
        <v>2.5000000000000001E-2</v>
      </c>
      <c r="H16" s="5" t="s">
        <v>9</v>
      </c>
      <c r="J16" s="1" t="s">
        <v>40</v>
      </c>
      <c r="K16" s="2">
        <f>G45</f>
        <v>6.4999999999999997E-3</v>
      </c>
      <c r="L16" s="2" t="s">
        <v>3</v>
      </c>
    </row>
    <row r="17" spans="2:12" x14ac:dyDescent="0.3">
      <c r="B17" s="6" t="s">
        <v>41</v>
      </c>
      <c r="C17" s="10">
        <f>K11/(K18*C14)</f>
        <v>206.45161290322582</v>
      </c>
      <c r="D17" s="7" t="s">
        <v>9</v>
      </c>
      <c r="F17" s="4" t="s">
        <v>42</v>
      </c>
      <c r="G17">
        <f>G16-G18</f>
        <v>1.2500000000000001E-2</v>
      </c>
      <c r="H17" s="5" t="s">
        <v>9</v>
      </c>
      <c r="J17" s="14" t="s">
        <v>43</v>
      </c>
      <c r="K17" s="2">
        <f>C5*8.8-133000</f>
        <v>361560.00000000006</v>
      </c>
      <c r="L17" s="2" t="s">
        <v>35</v>
      </c>
    </row>
    <row r="18" spans="2:12" x14ac:dyDescent="0.3">
      <c r="F18" s="4" t="s">
        <v>44</v>
      </c>
      <c r="G18">
        <f>G16*0.5</f>
        <v>1.2500000000000001E-2</v>
      </c>
      <c r="H18" s="5" t="s">
        <v>9</v>
      </c>
      <c r="J18" s="14" t="s">
        <v>45</v>
      </c>
      <c r="K18" s="2">
        <v>750000</v>
      </c>
      <c r="L18" s="2" t="s">
        <v>35</v>
      </c>
    </row>
    <row r="19" spans="2:12" x14ac:dyDescent="0.3">
      <c r="B19" s="8" t="s">
        <v>46</v>
      </c>
      <c r="C19" s="9"/>
      <c r="D19" s="3"/>
      <c r="F19" s="4" t="s">
        <v>47</v>
      </c>
      <c r="G19" s="11">
        <f>G17/C42</f>
        <v>1.9584500000000005E-3</v>
      </c>
      <c r="H19" s="5" t="s">
        <v>48</v>
      </c>
      <c r="J19" s="18" t="s">
        <v>107</v>
      </c>
      <c r="K19" s="19">
        <v>3.5000000000000001E-3</v>
      </c>
      <c r="L19" s="20" t="s">
        <v>6</v>
      </c>
    </row>
    <row r="20" spans="2:12" x14ac:dyDescent="0.3">
      <c r="B20" s="4" t="s">
        <v>49</v>
      </c>
      <c r="D20" s="5"/>
      <c r="F20" s="6" t="s">
        <v>50</v>
      </c>
      <c r="G20" s="12">
        <f>C42/(8*K17*G18)</f>
        <v>1.7652944140653275E-4</v>
      </c>
      <c r="H20" s="7" t="s">
        <v>51</v>
      </c>
    </row>
    <row r="21" spans="2:12" x14ac:dyDescent="0.3">
      <c r="B21" s="4" t="s">
        <v>52</v>
      </c>
      <c r="C21">
        <v>25</v>
      </c>
      <c r="D21" s="5" t="s">
        <v>9</v>
      </c>
    </row>
    <row r="22" spans="2:12" x14ac:dyDescent="0.3">
      <c r="B22" s="4" t="s">
        <v>53</v>
      </c>
      <c r="C22">
        <f>(C21-1.25)/1.25*C23</f>
        <v>190000</v>
      </c>
      <c r="D22" s="5" t="s">
        <v>3</v>
      </c>
      <c r="F22" s="8" t="s">
        <v>54</v>
      </c>
      <c r="G22" s="9"/>
      <c r="H22" s="3"/>
    </row>
    <row r="23" spans="2:12" x14ac:dyDescent="0.3">
      <c r="B23" s="6" t="s">
        <v>55</v>
      </c>
      <c r="C23" s="10">
        <v>10000</v>
      </c>
      <c r="D23" s="7" t="s">
        <v>3</v>
      </c>
      <c r="F23" s="4" t="s">
        <v>56</v>
      </c>
      <c r="G23">
        <f>K17/15</f>
        <v>24104.000000000004</v>
      </c>
      <c r="H23" s="5" t="s">
        <v>35</v>
      </c>
    </row>
    <row r="24" spans="2:12" x14ac:dyDescent="0.3">
      <c r="F24" s="4" t="s">
        <v>50</v>
      </c>
      <c r="G24">
        <f>G20</f>
        <v>1.7652944140653275E-4</v>
      </c>
      <c r="H24" s="5" t="s">
        <v>51</v>
      </c>
    </row>
    <row r="25" spans="2:12" x14ac:dyDescent="0.3">
      <c r="B25" s="8" t="s">
        <v>57</v>
      </c>
      <c r="C25" s="9"/>
      <c r="D25" s="3"/>
      <c r="F25" s="4" t="s">
        <v>58</v>
      </c>
      <c r="G25">
        <v>13.3</v>
      </c>
      <c r="H25" s="5" t="s">
        <v>59</v>
      </c>
    </row>
    <row r="26" spans="2:12" x14ac:dyDescent="0.3">
      <c r="B26" s="4" t="s">
        <v>60</v>
      </c>
      <c r="D26" s="5"/>
      <c r="F26" s="4" t="s">
        <v>4</v>
      </c>
      <c r="G26">
        <v>5.0000000000000001E-3</v>
      </c>
      <c r="H26" s="5" t="s">
        <v>3</v>
      </c>
    </row>
    <row r="27" spans="2:12" x14ac:dyDescent="0.3">
      <c r="B27" s="4" t="s">
        <v>61</v>
      </c>
      <c r="C27">
        <f>0.001*K11</f>
        <v>2.4E-2</v>
      </c>
      <c r="D27" s="5"/>
      <c r="F27" s="4" t="s">
        <v>62</v>
      </c>
      <c r="G27">
        <v>2E-3</v>
      </c>
      <c r="H27" s="5" t="s">
        <v>63</v>
      </c>
    </row>
    <row r="28" spans="2:12" x14ac:dyDescent="0.3">
      <c r="B28" s="4" t="s">
        <v>64</v>
      </c>
      <c r="C28" s="11">
        <v>9.9999999999999995E-8</v>
      </c>
      <c r="D28" s="5" t="s">
        <v>6</v>
      </c>
      <c r="F28" s="4" t="s">
        <v>65</v>
      </c>
      <c r="G28">
        <f>0.8/K11</f>
        <v>3.3333333333333333E-2</v>
      </c>
      <c r="H28" s="5" t="s">
        <v>59</v>
      </c>
    </row>
    <row r="29" spans="2:12" x14ac:dyDescent="0.3">
      <c r="B29" s="4" t="s">
        <v>66</v>
      </c>
      <c r="C29">
        <f>C27/C28</f>
        <v>240000.00000000003</v>
      </c>
      <c r="D29" s="5" t="s">
        <v>3</v>
      </c>
      <c r="F29" s="4" t="s">
        <v>67</v>
      </c>
      <c r="G29">
        <f>(2*PI()*G23*G24*G25*G26)/(G27*G28)</f>
        <v>26668.527593724786</v>
      </c>
      <c r="H29" s="5" t="s">
        <v>3</v>
      </c>
    </row>
    <row r="30" spans="2:12" x14ac:dyDescent="0.3">
      <c r="B30" s="4" t="s">
        <v>53</v>
      </c>
      <c r="C30">
        <v>187000</v>
      </c>
      <c r="D30" s="5" t="s">
        <v>3</v>
      </c>
      <c r="F30" s="4" t="s">
        <v>68</v>
      </c>
      <c r="G30">
        <f>1/(2*PI()*G24*(K11/K13))</f>
        <v>563.48583352370747</v>
      </c>
      <c r="H30" s="5" t="s">
        <v>35</v>
      </c>
    </row>
    <row r="31" spans="2:12" x14ac:dyDescent="0.3">
      <c r="B31" s="6" t="s">
        <v>55</v>
      </c>
      <c r="C31" s="10">
        <f>C30/((K11/0.8)-1)</f>
        <v>6448.2758620689656</v>
      </c>
      <c r="D31" s="7" t="s">
        <v>3</v>
      </c>
      <c r="F31" s="4" t="s">
        <v>69</v>
      </c>
      <c r="G31">
        <f>1/(2*PI()*G30*G29)</f>
        <v>1.0591027392037698E-8</v>
      </c>
      <c r="H31" s="5" t="s">
        <v>51</v>
      </c>
    </row>
    <row r="32" spans="2:12" x14ac:dyDescent="0.3">
      <c r="F32" s="4" t="s">
        <v>70</v>
      </c>
      <c r="G32">
        <f>K17/2</f>
        <v>180780.00000000003</v>
      </c>
      <c r="H32" s="5" t="s">
        <v>35</v>
      </c>
    </row>
    <row r="33" spans="2:13" x14ac:dyDescent="0.3">
      <c r="B33" s="8" t="s">
        <v>71</v>
      </c>
      <c r="C33" s="9"/>
      <c r="D33" s="3"/>
      <c r="F33" s="6" t="s">
        <v>72</v>
      </c>
      <c r="G33" s="10">
        <f>1/(2*PI()*G29*G32)</f>
        <v>3.3011914469934609E-11</v>
      </c>
      <c r="H33" s="7" t="s">
        <v>51</v>
      </c>
      <c r="M33" s="11"/>
    </row>
    <row r="34" spans="2:13" x14ac:dyDescent="0.3">
      <c r="B34" s="4" t="s">
        <v>73</v>
      </c>
      <c r="C34">
        <v>1E-3</v>
      </c>
      <c r="D34" s="5" t="s">
        <v>28</v>
      </c>
      <c r="J34" s="11"/>
      <c r="M34" s="11"/>
    </row>
    <row r="35" spans="2:13" x14ac:dyDescent="0.3">
      <c r="B35" s="6" t="s">
        <v>74</v>
      </c>
      <c r="C35" s="10">
        <f>C34*5/0.8</f>
        <v>6.2499999999999995E-3</v>
      </c>
      <c r="D35" s="7" t="s">
        <v>75</v>
      </c>
      <c r="F35" s="29" t="s">
        <v>76</v>
      </c>
      <c r="G35" s="30"/>
      <c r="H35" s="31"/>
      <c r="J35" s="11"/>
    </row>
    <row r="36" spans="2:13" x14ac:dyDescent="0.3">
      <c r="F36" s="24" t="s">
        <v>79</v>
      </c>
      <c r="G36" s="32">
        <f>G46</f>
        <v>7.2000000000000009E-8</v>
      </c>
      <c r="H36" s="33" t="s">
        <v>30</v>
      </c>
      <c r="M36" s="11"/>
    </row>
    <row r="37" spans="2:13" x14ac:dyDescent="0.3">
      <c r="B37" s="8" t="s">
        <v>77</v>
      </c>
      <c r="C37" s="9" t="s">
        <v>78</v>
      </c>
      <c r="D37" s="3"/>
      <c r="F37" s="24" t="s">
        <v>80</v>
      </c>
      <c r="G37" s="34">
        <v>0.125</v>
      </c>
      <c r="H37" s="33" t="s">
        <v>9</v>
      </c>
      <c r="J37" s="11"/>
    </row>
    <row r="38" spans="2:13" x14ac:dyDescent="0.3">
      <c r="B38" s="4" t="s">
        <v>33</v>
      </c>
      <c r="C38" s="21">
        <f>K11/((K9+K10)/2)</f>
        <v>0.58536585365853655</v>
      </c>
      <c r="D38" s="5"/>
      <c r="F38" s="35" t="s">
        <v>82</v>
      </c>
      <c r="G38" s="34"/>
      <c r="H38" s="33"/>
    </row>
    <row r="39" spans="2:13" x14ac:dyDescent="0.3">
      <c r="B39" s="4" t="s">
        <v>81</v>
      </c>
      <c r="C39" s="21">
        <v>0.24</v>
      </c>
      <c r="D39" s="5"/>
      <c r="F39" s="26" t="s">
        <v>85</v>
      </c>
      <c r="G39" s="36">
        <f>G36/G37</f>
        <v>5.7600000000000008E-7</v>
      </c>
      <c r="H39" s="37" t="s">
        <v>51</v>
      </c>
    </row>
    <row r="40" spans="2:13" x14ac:dyDescent="0.3">
      <c r="B40" s="4" t="s">
        <v>83</v>
      </c>
      <c r="C40" s="21">
        <f>(K11*(1-C38))/(C39*K13*K17)</f>
        <v>7.6452805683051869E-6</v>
      </c>
      <c r="D40" s="5" t="s">
        <v>84</v>
      </c>
    </row>
    <row r="41" spans="2:13" x14ac:dyDescent="0.3">
      <c r="B41" s="4" t="s">
        <v>86</v>
      </c>
      <c r="C41" s="22">
        <v>5.5999999999999997E-6</v>
      </c>
      <c r="D41" s="5" t="s">
        <v>84</v>
      </c>
      <c r="F41" s="8" t="s">
        <v>88</v>
      </c>
      <c r="G41" s="9"/>
      <c r="H41" s="3"/>
    </row>
    <row r="42" spans="2:13" x14ac:dyDescent="0.3">
      <c r="B42" s="4" t="s">
        <v>87</v>
      </c>
      <c r="C42" s="22">
        <f>(K11*(1-K11/K10))/(C41*K17)</f>
        <v>6.3825984834945997</v>
      </c>
      <c r="D42" s="5" t="s">
        <v>6</v>
      </c>
      <c r="F42" s="4" t="s">
        <v>93</v>
      </c>
      <c r="G42" s="21">
        <v>100</v>
      </c>
      <c r="H42" s="5" t="s">
        <v>9</v>
      </c>
    </row>
    <row r="43" spans="2:13" x14ac:dyDescent="0.3">
      <c r="B43" s="4" t="s">
        <v>90</v>
      </c>
      <c r="C43" s="21">
        <v>4.4400000000000004E-3</v>
      </c>
      <c r="D43" s="5" t="s">
        <v>3</v>
      </c>
      <c r="F43" s="4" t="s">
        <v>99</v>
      </c>
      <c r="G43" s="21">
        <v>263</v>
      </c>
      <c r="H43" s="5" t="s">
        <v>100</v>
      </c>
    </row>
    <row r="44" spans="2:13" x14ac:dyDescent="0.3">
      <c r="B44" s="4" t="s">
        <v>92</v>
      </c>
      <c r="C44" s="22">
        <f>K13+C42</f>
        <v>21.382598483494601</v>
      </c>
      <c r="D44" s="5" t="s">
        <v>6</v>
      </c>
      <c r="F44" s="4" t="s">
        <v>102</v>
      </c>
      <c r="G44" s="21">
        <v>100</v>
      </c>
      <c r="H44" s="5" t="s">
        <v>103</v>
      </c>
    </row>
    <row r="45" spans="2:13" x14ac:dyDescent="0.3">
      <c r="B45" s="4" t="s">
        <v>94</v>
      </c>
      <c r="C45" s="22">
        <f>(K13+(C42/2))*0.005</f>
        <v>9.0956496208736498E-2</v>
      </c>
      <c r="D45" s="5"/>
      <c r="F45" s="8" t="s">
        <v>127</v>
      </c>
      <c r="G45" s="9">
        <v>6.4999999999999997E-3</v>
      </c>
      <c r="H45" s="3" t="s">
        <v>3</v>
      </c>
    </row>
    <row r="46" spans="2:13" x14ac:dyDescent="0.3">
      <c r="B46" s="4" t="s">
        <v>96</v>
      </c>
      <c r="C46" s="21">
        <v>21</v>
      </c>
      <c r="D46" s="5" t="s">
        <v>6</v>
      </c>
      <c r="F46" s="16" t="s">
        <v>132</v>
      </c>
      <c r="G46" s="22">
        <f>72*10^-9</f>
        <v>7.2000000000000009E-8</v>
      </c>
      <c r="H46" s="5" t="s">
        <v>30</v>
      </c>
    </row>
    <row r="47" spans="2:13" x14ac:dyDescent="0.3">
      <c r="B47" s="4" t="s">
        <v>98</v>
      </c>
      <c r="C47" s="23">
        <f>C45/(50*C9)</f>
        <v>363.82598483494598</v>
      </c>
      <c r="D47" s="5"/>
      <c r="F47" s="35" t="s">
        <v>130</v>
      </c>
      <c r="G47" s="21">
        <f>9992*10^-12</f>
        <v>9.9919999999999994E-9</v>
      </c>
      <c r="H47" s="33" t="s">
        <v>51</v>
      </c>
    </row>
    <row r="48" spans="2:13" x14ac:dyDescent="0.3">
      <c r="B48" s="6" t="s">
        <v>101</v>
      </c>
      <c r="C48" s="12">
        <f>0.005*(15+(C42/2))</f>
        <v>9.0956496208736498E-2</v>
      </c>
      <c r="D48" s="7"/>
      <c r="F48" s="35" t="s">
        <v>129</v>
      </c>
      <c r="G48" s="22">
        <f>150*10^-9</f>
        <v>1.5000000000000002E-7</v>
      </c>
      <c r="H48" s="33" t="s">
        <v>51</v>
      </c>
    </row>
    <row r="49" spans="2:8" x14ac:dyDescent="0.3">
      <c r="F49" s="35" t="s">
        <v>131</v>
      </c>
      <c r="G49" s="21">
        <v>9</v>
      </c>
      <c r="H49" s="5" t="s">
        <v>9</v>
      </c>
    </row>
    <row r="50" spans="2:8" x14ac:dyDescent="0.3">
      <c r="B50" s="8" t="s">
        <v>104</v>
      </c>
      <c r="C50" s="9"/>
      <c r="D50" s="3"/>
      <c r="F50" s="39" t="s">
        <v>128</v>
      </c>
      <c r="G50" s="38">
        <v>1.2</v>
      </c>
      <c r="H50" s="37" t="s">
        <v>9</v>
      </c>
    </row>
    <row r="51" spans="2:8" x14ac:dyDescent="0.3">
      <c r="B51" s="4" t="s">
        <v>106</v>
      </c>
      <c r="C51" s="23">
        <f>$K$10*(($G$36*4*$K$17)+$K$19)</f>
        <v>5.5967225600000017</v>
      </c>
      <c r="D51" s="5" t="s">
        <v>105</v>
      </c>
    </row>
    <row r="52" spans="2:8" x14ac:dyDescent="0.3">
      <c r="B52" s="24" t="s">
        <v>108</v>
      </c>
      <c r="C52" s="23">
        <v>40</v>
      </c>
      <c r="D52" s="25" t="s">
        <v>109</v>
      </c>
    </row>
    <row r="53" spans="2:8" x14ac:dyDescent="0.3">
      <c r="B53" s="24" t="s">
        <v>110</v>
      </c>
      <c r="C53" s="23">
        <v>29</v>
      </c>
      <c r="D53" s="25" t="s">
        <v>111</v>
      </c>
      <c r="F53" s="8" t="s">
        <v>113</v>
      </c>
      <c r="G53" s="9"/>
      <c r="H53" s="3"/>
    </row>
    <row r="54" spans="2:8" x14ac:dyDescent="0.3">
      <c r="B54" s="26" t="s">
        <v>112</v>
      </c>
      <c r="C54" s="27">
        <f>(C51*C53)+C52</f>
        <v>202.30495424000006</v>
      </c>
      <c r="D54" s="28" t="s">
        <v>109</v>
      </c>
      <c r="F54" s="4" t="s">
        <v>117</v>
      </c>
      <c r="G54" s="21">
        <f>0.9+$G$45</f>
        <v>0.90649999999999997</v>
      </c>
      <c r="H54" s="5" t="s">
        <v>3</v>
      </c>
    </row>
    <row r="55" spans="2:8" x14ac:dyDescent="0.3">
      <c r="F55" s="4" t="s">
        <v>121</v>
      </c>
      <c r="G55" s="21">
        <f>30*10^-9</f>
        <v>3.0000000000000004E-8</v>
      </c>
      <c r="H55" s="5" t="s">
        <v>123</v>
      </c>
    </row>
    <row r="56" spans="2:8" x14ac:dyDescent="0.3">
      <c r="B56" s="8" t="s">
        <v>126</v>
      </c>
      <c r="C56" s="9"/>
      <c r="D56" s="3"/>
      <c r="F56" s="4" t="s">
        <v>114</v>
      </c>
      <c r="G56" s="23">
        <f>($K$13/2)^2*$G$45*$K$14</f>
        <v>0.21402439024390241</v>
      </c>
      <c r="H56" s="5" t="s">
        <v>105</v>
      </c>
    </row>
    <row r="57" spans="2:8" x14ac:dyDescent="0.3">
      <c r="B57" s="4" t="s">
        <v>106</v>
      </c>
      <c r="C57" s="23">
        <f>$K$10*(($G$36*2*$K$17)+$K$19)</f>
        <v>2.889361280000001</v>
      </c>
      <c r="D57" s="5" t="s">
        <v>105</v>
      </c>
      <c r="F57" s="4" t="s">
        <v>133</v>
      </c>
      <c r="G57" s="22">
        <f>($K$10*$K$13/4)*($G$46*$G$54/(5.5-$G$49))+($K$10*$G$48)+($G$47*($K$10)^2)</f>
        <v>3.1182007999999996E-5</v>
      </c>
      <c r="H57" s="5" t="s">
        <v>105</v>
      </c>
    </row>
    <row r="58" spans="2:8" x14ac:dyDescent="0.3">
      <c r="B58" s="24" t="s">
        <v>108</v>
      </c>
      <c r="C58" s="23">
        <v>40</v>
      </c>
      <c r="D58" s="25" t="s">
        <v>109</v>
      </c>
      <c r="F58" s="4" t="s">
        <v>120</v>
      </c>
      <c r="G58" s="23">
        <f>$G$57+$G$56</f>
        <v>0.21405557225190242</v>
      </c>
      <c r="H58" s="5" t="s">
        <v>105</v>
      </c>
    </row>
    <row r="59" spans="2:8" x14ac:dyDescent="0.3">
      <c r="B59" s="24" t="s">
        <v>110</v>
      </c>
      <c r="C59" s="23">
        <v>29</v>
      </c>
      <c r="D59" s="25" t="s">
        <v>111</v>
      </c>
      <c r="F59" s="6" t="s">
        <v>124</v>
      </c>
      <c r="G59" s="27">
        <f>($K$13/2)^2*$G$45*(1-$K$14)+$G$50*$K$13/2*$G$55*$K$17</f>
        <v>0.24922180975609759</v>
      </c>
      <c r="H59" s="7" t="s">
        <v>105</v>
      </c>
    </row>
    <row r="60" spans="2:8" x14ac:dyDescent="0.3">
      <c r="B60" s="26" t="s">
        <v>112</v>
      </c>
      <c r="C60" s="27">
        <f>(C57*C59)+C58</f>
        <v>123.79147712000002</v>
      </c>
      <c r="D60" s="28" t="s">
        <v>109</v>
      </c>
    </row>
    <row r="61" spans="2:8" x14ac:dyDescent="0.3">
      <c r="F61" s="8" t="s">
        <v>125</v>
      </c>
      <c r="G61" s="9"/>
      <c r="H61" s="3"/>
    </row>
    <row r="62" spans="2:8" x14ac:dyDescent="0.3">
      <c r="F62" s="4" t="s">
        <v>117</v>
      </c>
      <c r="G62" s="21">
        <f>0.9+$G$45</f>
        <v>0.90649999999999997</v>
      </c>
      <c r="H62" s="5" t="s">
        <v>3</v>
      </c>
    </row>
    <row r="63" spans="2:8" x14ac:dyDescent="0.3">
      <c r="F63" s="4" t="s">
        <v>121</v>
      </c>
      <c r="G63" s="21">
        <f>30*10^-9</f>
        <v>3.0000000000000004E-8</v>
      </c>
      <c r="H63" s="5" t="s">
        <v>123</v>
      </c>
    </row>
    <row r="64" spans="2:8" x14ac:dyDescent="0.3">
      <c r="F64" s="4" t="s">
        <v>114</v>
      </c>
      <c r="G64" s="23">
        <f>($K$13)^2*$G$45*$K$14</f>
        <v>0.85609756097560963</v>
      </c>
      <c r="H64" s="5" t="s">
        <v>105</v>
      </c>
    </row>
    <row r="65" spans="6:9" x14ac:dyDescent="0.3">
      <c r="F65" s="4" t="s">
        <v>116</v>
      </c>
      <c r="G65" s="22">
        <f>($K$10*$K$13/2)*($G$46*$G$54/(5.5-$G$49))+($K$10*$G$48)+($G$47*($K$10)^2)</f>
        <v>2.7545647999999997E-5</v>
      </c>
      <c r="H65" s="5" t="s">
        <v>105</v>
      </c>
    </row>
    <row r="66" spans="6:9" x14ac:dyDescent="0.3">
      <c r="F66" s="4" t="s">
        <v>120</v>
      </c>
      <c r="G66" s="23">
        <f>G64+G65</f>
        <v>0.85612510662360963</v>
      </c>
      <c r="H66" s="5" t="s">
        <v>105</v>
      </c>
    </row>
    <row r="67" spans="6:9" x14ac:dyDescent="0.3">
      <c r="F67" s="6" t="s">
        <v>124</v>
      </c>
      <c r="G67" s="27">
        <f>($K$13)^2*$G$45*(1-$K$14)+$G$50*$K$13*$G$55*$K$17</f>
        <v>0.80164483902439032</v>
      </c>
      <c r="H67" s="7" t="s">
        <v>105</v>
      </c>
    </row>
    <row r="69" spans="6:9" x14ac:dyDescent="0.3">
      <c r="I69" s="1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9B67F-0DFB-4A7F-92D1-6B942FFDE0C5}">
  <dimension ref="B4:M69"/>
  <sheetViews>
    <sheetView topLeftCell="A19" zoomScale="85" zoomScaleNormal="85" workbookViewId="0">
      <selection activeCell="K62" sqref="K62"/>
    </sheetView>
  </sheetViews>
  <sheetFormatPr defaultRowHeight="14.4" x14ac:dyDescent="0.3"/>
  <cols>
    <col min="2" max="2" width="31.5546875" bestFit="1" customWidth="1"/>
    <col min="3" max="3" width="12" bestFit="1" customWidth="1"/>
    <col min="6" max="6" width="30.44140625" bestFit="1" customWidth="1"/>
    <col min="7" max="7" width="18.44140625" bestFit="1" customWidth="1"/>
    <col min="9" max="9" width="19.109375" bestFit="1" customWidth="1"/>
    <col min="10" max="10" width="14.6640625" bestFit="1" customWidth="1"/>
    <col min="11" max="11" width="8.88671875" customWidth="1"/>
    <col min="12" max="12" width="5.33203125" bestFit="1" customWidth="1"/>
  </cols>
  <sheetData>
    <row r="4" spans="2:12" x14ac:dyDescent="0.3">
      <c r="B4" s="8" t="s">
        <v>0</v>
      </c>
      <c r="C4" s="9"/>
      <c r="D4" s="3"/>
      <c r="F4" s="8" t="s">
        <v>1</v>
      </c>
      <c r="G4" s="9"/>
      <c r="H4" s="3"/>
    </row>
    <row r="5" spans="2:12" x14ac:dyDescent="0.3">
      <c r="B5" s="6" t="s">
        <v>2</v>
      </c>
      <c r="C5" s="10">
        <f>56200</f>
        <v>56200</v>
      </c>
      <c r="D5" s="7" t="s">
        <v>3</v>
      </c>
      <c r="F5" s="4" t="s">
        <v>4</v>
      </c>
      <c r="G5" s="11">
        <f>C8/(K13+(C42/2))</f>
        <v>4.1228501056088471E-3</v>
      </c>
      <c r="H5" s="5" t="s">
        <v>3</v>
      </c>
    </row>
    <row r="6" spans="2:12" x14ac:dyDescent="0.3">
      <c r="F6" s="4" t="s">
        <v>5</v>
      </c>
      <c r="G6" s="11">
        <f>(K11*(1-(K11/K9)))/(C41*K17)</f>
        <v>2.3706794367265651</v>
      </c>
      <c r="H6" s="5" t="s">
        <v>6</v>
      </c>
    </row>
    <row r="7" spans="2:12" x14ac:dyDescent="0.3">
      <c r="B7" s="8" t="s">
        <v>7</v>
      </c>
      <c r="C7" s="9"/>
      <c r="D7" s="3"/>
      <c r="F7" s="4" t="s">
        <v>8</v>
      </c>
      <c r="G7" s="11">
        <f>G6*G5</f>
        <v>9.7739559660728406E-3</v>
      </c>
      <c r="H7" s="5" t="s">
        <v>9</v>
      </c>
    </row>
    <row r="8" spans="2:12" ht="15.6" x14ac:dyDescent="0.3">
      <c r="B8" s="4" t="s">
        <v>10</v>
      </c>
      <c r="C8">
        <v>7.4999999999999997E-2</v>
      </c>
      <c r="D8" s="5" t="s">
        <v>9</v>
      </c>
      <c r="F8" s="6" t="s">
        <v>11</v>
      </c>
      <c r="G8" s="10">
        <f>G5*(K13+(C42/2))</f>
        <v>7.4999999999999997E-2</v>
      </c>
      <c r="H8" s="7" t="s">
        <v>9</v>
      </c>
      <c r="J8" s="13" t="s">
        <v>12</v>
      </c>
      <c r="K8" s="13" t="s">
        <v>13</v>
      </c>
      <c r="L8" s="13" t="s">
        <v>14</v>
      </c>
    </row>
    <row r="9" spans="2:12" x14ac:dyDescent="0.3">
      <c r="B9" s="4" t="s">
        <v>15</v>
      </c>
      <c r="C9">
        <v>5.0000000000000004E-6</v>
      </c>
      <c r="D9" s="5" t="s">
        <v>6</v>
      </c>
      <c r="J9" s="1" t="s">
        <v>16</v>
      </c>
      <c r="K9" s="2">
        <v>30</v>
      </c>
      <c r="L9" s="2" t="s">
        <v>9</v>
      </c>
    </row>
    <row r="10" spans="2:12" x14ac:dyDescent="0.3">
      <c r="B10" s="6" t="s">
        <v>17</v>
      </c>
      <c r="C10" s="10">
        <f>C8/(C9*50)</f>
        <v>300</v>
      </c>
      <c r="D10" s="7" t="s">
        <v>18</v>
      </c>
      <c r="F10" s="8" t="s">
        <v>19</v>
      </c>
      <c r="G10" s="9"/>
      <c r="H10" s="3"/>
      <c r="J10" s="1" t="s">
        <v>20</v>
      </c>
      <c r="K10" s="2">
        <v>52</v>
      </c>
      <c r="L10" s="2" t="s">
        <v>9</v>
      </c>
    </row>
    <row r="11" spans="2:12" x14ac:dyDescent="0.3">
      <c r="F11" s="4" t="s">
        <v>21</v>
      </c>
      <c r="G11">
        <v>0.9</v>
      </c>
      <c r="H11" s="5" t="s">
        <v>22</v>
      </c>
      <c r="J11" s="1" t="s">
        <v>23</v>
      </c>
      <c r="K11" s="2">
        <v>24</v>
      </c>
      <c r="L11" s="2" t="s">
        <v>9</v>
      </c>
    </row>
    <row r="12" spans="2:12" x14ac:dyDescent="0.3">
      <c r="B12" s="8" t="s">
        <v>24</v>
      </c>
      <c r="C12" s="9"/>
      <c r="D12" s="3"/>
      <c r="F12" s="4" t="s">
        <v>25</v>
      </c>
      <c r="G12">
        <v>0.3</v>
      </c>
      <c r="H12" s="5" t="s">
        <v>9</v>
      </c>
      <c r="J12" s="1" t="s">
        <v>26</v>
      </c>
      <c r="K12" s="2">
        <v>30</v>
      </c>
      <c r="L12" s="2" t="s">
        <v>6</v>
      </c>
    </row>
    <row r="13" spans="2:12" x14ac:dyDescent="0.3">
      <c r="B13" s="4" t="s">
        <v>27</v>
      </c>
      <c r="C13" s="11">
        <v>1.1999999999999999E-7</v>
      </c>
      <c r="D13" s="5" t="s">
        <v>28</v>
      </c>
      <c r="F13" s="6" t="s">
        <v>29</v>
      </c>
      <c r="G13" s="10">
        <f>(K12*C38*(1-C38))/(G11*G12*K17)</f>
        <v>7.4588103105416415E-5</v>
      </c>
      <c r="H13" s="7" t="s">
        <v>30</v>
      </c>
      <c r="J13" s="1" t="s">
        <v>31</v>
      </c>
      <c r="K13" s="2">
        <f>K12/2</f>
        <v>15</v>
      </c>
      <c r="L13" s="2" t="s">
        <v>6</v>
      </c>
    </row>
    <row r="14" spans="2:12" x14ac:dyDescent="0.3">
      <c r="B14" s="4" t="s">
        <v>32</v>
      </c>
      <c r="C14" s="11">
        <v>1.55E-7</v>
      </c>
      <c r="D14" s="5" t="s">
        <v>28</v>
      </c>
      <c r="J14" s="1" t="s">
        <v>33</v>
      </c>
      <c r="K14" s="2">
        <f>C38</f>
        <v>0.58536585365853655</v>
      </c>
      <c r="L14" s="2"/>
    </row>
    <row r="15" spans="2:12" x14ac:dyDescent="0.3">
      <c r="B15" s="4" t="s">
        <v>34</v>
      </c>
      <c r="C15" s="11">
        <f>K18</f>
        <v>750000</v>
      </c>
      <c r="D15" s="5" t="s">
        <v>35</v>
      </c>
      <c r="F15" s="8" t="s">
        <v>36</v>
      </c>
      <c r="G15" s="9"/>
      <c r="H15" s="3"/>
      <c r="J15" s="1" t="s">
        <v>37</v>
      </c>
      <c r="K15" s="2">
        <f>G45</f>
        <v>8.0000000000000002E-3</v>
      </c>
      <c r="L15" s="2" t="s">
        <v>3</v>
      </c>
    </row>
    <row r="16" spans="2:12" x14ac:dyDescent="0.3">
      <c r="B16" s="4" t="s">
        <v>38</v>
      </c>
      <c r="C16">
        <f>((K11+K12*(K15+C43))/(1-C15*C13))+(K12*K15*K16)</f>
        <v>26.785656263736261</v>
      </c>
      <c r="D16" s="5" t="s">
        <v>9</v>
      </c>
      <c r="F16" s="4" t="s">
        <v>39</v>
      </c>
      <c r="G16">
        <v>2.5000000000000001E-2</v>
      </c>
      <c r="H16" s="5" t="s">
        <v>9</v>
      </c>
      <c r="J16" s="1" t="s">
        <v>40</v>
      </c>
      <c r="K16" s="2">
        <f>G45</f>
        <v>8.0000000000000002E-3</v>
      </c>
      <c r="L16" s="2" t="s">
        <v>3</v>
      </c>
    </row>
    <row r="17" spans="2:12" x14ac:dyDescent="0.3">
      <c r="B17" s="6" t="s">
        <v>41</v>
      </c>
      <c r="C17" s="10">
        <f>K11/(K18*C14)</f>
        <v>206.45161290322582</v>
      </c>
      <c r="D17" s="7" t="s">
        <v>9</v>
      </c>
      <c r="F17" s="4" t="s">
        <v>42</v>
      </c>
      <c r="G17">
        <f>G16-G18</f>
        <v>1.2500000000000001E-2</v>
      </c>
      <c r="H17" s="5" t="s">
        <v>9</v>
      </c>
      <c r="J17" s="14" t="s">
        <v>43</v>
      </c>
      <c r="K17" s="2">
        <f>C5*8.8-133000</f>
        <v>361560.00000000006</v>
      </c>
      <c r="L17" s="2" t="s">
        <v>35</v>
      </c>
    </row>
    <row r="18" spans="2:12" x14ac:dyDescent="0.3">
      <c r="F18" s="4" t="s">
        <v>44</v>
      </c>
      <c r="G18">
        <f>G16*0.5</f>
        <v>1.2500000000000001E-2</v>
      </c>
      <c r="H18" s="5" t="s">
        <v>9</v>
      </c>
      <c r="J18" s="14" t="s">
        <v>45</v>
      </c>
      <c r="K18" s="2">
        <v>750000</v>
      </c>
      <c r="L18" s="2" t="s">
        <v>35</v>
      </c>
    </row>
    <row r="19" spans="2:12" x14ac:dyDescent="0.3">
      <c r="B19" s="8" t="s">
        <v>46</v>
      </c>
      <c r="C19" s="9"/>
      <c r="D19" s="3"/>
      <c r="F19" s="4" t="s">
        <v>47</v>
      </c>
      <c r="G19" s="11">
        <f>G17/C42</f>
        <v>1.9584500000000005E-3</v>
      </c>
      <c r="H19" s="5" t="s">
        <v>48</v>
      </c>
      <c r="J19" s="18" t="s">
        <v>107</v>
      </c>
      <c r="K19" s="19">
        <v>3.5000000000000001E-3</v>
      </c>
      <c r="L19" s="20" t="s">
        <v>6</v>
      </c>
    </row>
    <row r="20" spans="2:12" x14ac:dyDescent="0.3">
      <c r="B20" s="4" t="s">
        <v>49</v>
      </c>
      <c r="D20" s="5"/>
      <c r="F20" s="6" t="s">
        <v>50</v>
      </c>
      <c r="G20" s="12">
        <f>C42/(8*K17*G18)</f>
        <v>1.7652944140653275E-4</v>
      </c>
      <c r="H20" s="7" t="s">
        <v>51</v>
      </c>
    </row>
    <row r="21" spans="2:12" x14ac:dyDescent="0.3">
      <c r="B21" s="4" t="s">
        <v>52</v>
      </c>
      <c r="C21">
        <v>25</v>
      </c>
      <c r="D21" s="5" t="s">
        <v>9</v>
      </c>
    </row>
    <row r="22" spans="2:12" x14ac:dyDescent="0.3">
      <c r="B22" s="4" t="s">
        <v>53</v>
      </c>
      <c r="C22">
        <f>(C21-1.25)/1.25*C23</f>
        <v>190000</v>
      </c>
      <c r="D22" s="5" t="s">
        <v>3</v>
      </c>
      <c r="F22" s="8" t="s">
        <v>54</v>
      </c>
      <c r="G22" s="9"/>
      <c r="H22" s="3"/>
    </row>
    <row r="23" spans="2:12" x14ac:dyDescent="0.3">
      <c r="B23" s="6" t="s">
        <v>55</v>
      </c>
      <c r="C23" s="10">
        <v>10000</v>
      </c>
      <c r="D23" s="7" t="s">
        <v>3</v>
      </c>
      <c r="F23" s="4" t="s">
        <v>56</v>
      </c>
      <c r="G23">
        <f>K17/15</f>
        <v>24104.000000000004</v>
      </c>
      <c r="H23" s="5" t="s">
        <v>35</v>
      </c>
    </row>
    <row r="24" spans="2:12" x14ac:dyDescent="0.3">
      <c r="F24" s="4" t="s">
        <v>50</v>
      </c>
      <c r="G24">
        <f>G20</f>
        <v>1.7652944140653275E-4</v>
      </c>
      <c r="H24" s="5" t="s">
        <v>51</v>
      </c>
    </row>
    <row r="25" spans="2:12" x14ac:dyDescent="0.3">
      <c r="B25" s="8" t="s">
        <v>57</v>
      </c>
      <c r="C25" s="9"/>
      <c r="D25" s="3"/>
      <c r="F25" s="4" t="s">
        <v>58</v>
      </c>
      <c r="G25">
        <v>13.3</v>
      </c>
      <c r="H25" s="5" t="s">
        <v>59</v>
      </c>
    </row>
    <row r="26" spans="2:12" x14ac:dyDescent="0.3">
      <c r="B26" s="4" t="s">
        <v>60</v>
      </c>
      <c r="D26" s="5"/>
      <c r="F26" s="4" t="s">
        <v>4</v>
      </c>
      <c r="G26">
        <v>5.0000000000000001E-3</v>
      </c>
      <c r="H26" s="5" t="s">
        <v>3</v>
      </c>
    </row>
    <row r="27" spans="2:12" x14ac:dyDescent="0.3">
      <c r="B27" s="4" t="s">
        <v>61</v>
      </c>
      <c r="C27">
        <f>0.001*K11</f>
        <v>2.4E-2</v>
      </c>
      <c r="D27" s="5"/>
      <c r="F27" s="4" t="s">
        <v>62</v>
      </c>
      <c r="G27">
        <v>2E-3</v>
      </c>
      <c r="H27" s="5" t="s">
        <v>63</v>
      </c>
    </row>
    <row r="28" spans="2:12" x14ac:dyDescent="0.3">
      <c r="B28" s="4" t="s">
        <v>64</v>
      </c>
      <c r="C28" s="11">
        <v>9.9999999999999995E-8</v>
      </c>
      <c r="D28" s="5" t="s">
        <v>6</v>
      </c>
      <c r="F28" s="4" t="s">
        <v>65</v>
      </c>
      <c r="G28">
        <f>0.8/K11</f>
        <v>3.3333333333333333E-2</v>
      </c>
      <c r="H28" s="5" t="s">
        <v>59</v>
      </c>
    </row>
    <row r="29" spans="2:12" x14ac:dyDescent="0.3">
      <c r="B29" s="4" t="s">
        <v>66</v>
      </c>
      <c r="C29">
        <f>C27/C28</f>
        <v>240000.00000000003</v>
      </c>
      <c r="D29" s="5" t="s">
        <v>3</v>
      </c>
      <c r="F29" s="4" t="s">
        <v>67</v>
      </c>
      <c r="G29">
        <f>(2*PI()*G23*G24*G25*G26)/(G27*G28)</f>
        <v>26668.527593724786</v>
      </c>
      <c r="H29" s="5" t="s">
        <v>3</v>
      </c>
    </row>
    <row r="30" spans="2:12" x14ac:dyDescent="0.3">
      <c r="B30" s="4" t="s">
        <v>53</v>
      </c>
      <c r="C30">
        <v>187000</v>
      </c>
      <c r="D30" s="5" t="s">
        <v>3</v>
      </c>
      <c r="F30" s="4" t="s">
        <v>68</v>
      </c>
      <c r="G30">
        <f>1/(2*PI()*G24*(K11/K13))</f>
        <v>563.48583352370747</v>
      </c>
      <c r="H30" s="5" t="s">
        <v>35</v>
      </c>
    </row>
    <row r="31" spans="2:12" x14ac:dyDescent="0.3">
      <c r="B31" s="6" t="s">
        <v>55</v>
      </c>
      <c r="C31" s="10">
        <f>C30/((K11/0.8)-1)</f>
        <v>6448.2758620689656</v>
      </c>
      <c r="D31" s="7" t="s">
        <v>3</v>
      </c>
      <c r="F31" s="4" t="s">
        <v>69</v>
      </c>
      <c r="G31">
        <f>1/(2*PI()*G30*G29)</f>
        <v>1.0591027392037698E-8</v>
      </c>
      <c r="H31" s="5" t="s">
        <v>51</v>
      </c>
    </row>
    <row r="32" spans="2:12" x14ac:dyDescent="0.3">
      <c r="F32" s="4" t="s">
        <v>70</v>
      </c>
      <c r="G32">
        <f>K17/2</f>
        <v>180780.00000000003</v>
      </c>
      <c r="H32" s="5" t="s">
        <v>35</v>
      </c>
    </row>
    <row r="33" spans="2:13" x14ac:dyDescent="0.3">
      <c r="B33" s="8" t="s">
        <v>71</v>
      </c>
      <c r="C33" s="9"/>
      <c r="D33" s="3"/>
      <c r="F33" s="6" t="s">
        <v>72</v>
      </c>
      <c r="G33" s="10">
        <f>1/(2*PI()*G29*G32)</f>
        <v>3.3011914469934609E-11</v>
      </c>
      <c r="H33" s="7" t="s">
        <v>51</v>
      </c>
      <c r="M33" s="11"/>
    </row>
    <row r="34" spans="2:13" x14ac:dyDescent="0.3">
      <c r="B34" s="4" t="s">
        <v>73</v>
      </c>
      <c r="C34">
        <v>1E-3</v>
      </c>
      <c r="D34" s="5" t="s">
        <v>28</v>
      </c>
      <c r="J34" s="11"/>
      <c r="M34" s="11"/>
    </row>
    <row r="35" spans="2:13" x14ac:dyDescent="0.3">
      <c r="B35" s="6" t="s">
        <v>74</v>
      </c>
      <c r="C35" s="10">
        <f>C34*5/0.8</f>
        <v>6.2499999999999995E-3</v>
      </c>
      <c r="D35" s="7" t="s">
        <v>75</v>
      </c>
      <c r="F35" s="29" t="s">
        <v>76</v>
      </c>
      <c r="G35" s="30"/>
      <c r="H35" s="31"/>
      <c r="J35" s="11"/>
    </row>
    <row r="36" spans="2:13" x14ac:dyDescent="0.3">
      <c r="F36" s="24" t="s">
        <v>79</v>
      </c>
      <c r="G36" s="32">
        <f>G46</f>
        <v>8.7000000000000011E-8</v>
      </c>
      <c r="H36" s="33" t="s">
        <v>30</v>
      </c>
      <c r="M36" s="11"/>
    </row>
    <row r="37" spans="2:13" x14ac:dyDescent="0.3">
      <c r="B37" s="8" t="s">
        <v>77</v>
      </c>
      <c r="C37" s="9" t="s">
        <v>78</v>
      </c>
      <c r="D37" s="3"/>
      <c r="F37" s="24" t="s">
        <v>80</v>
      </c>
      <c r="G37" s="34">
        <v>0.125</v>
      </c>
      <c r="H37" s="33" t="s">
        <v>9</v>
      </c>
      <c r="J37" s="11"/>
    </row>
    <row r="38" spans="2:13" x14ac:dyDescent="0.3">
      <c r="B38" s="4" t="s">
        <v>33</v>
      </c>
      <c r="C38" s="21">
        <f>K11/((K9+K10)/2)</f>
        <v>0.58536585365853655</v>
      </c>
      <c r="D38" s="5"/>
      <c r="F38" s="35" t="s">
        <v>82</v>
      </c>
      <c r="G38" s="34"/>
      <c r="H38" s="33"/>
    </row>
    <row r="39" spans="2:13" x14ac:dyDescent="0.3">
      <c r="B39" s="4" t="s">
        <v>81</v>
      </c>
      <c r="C39" s="21">
        <v>0.24</v>
      </c>
      <c r="D39" s="5"/>
      <c r="F39" s="26" t="s">
        <v>85</v>
      </c>
      <c r="G39" s="36">
        <f>G36/G37</f>
        <v>6.9600000000000009E-7</v>
      </c>
      <c r="H39" s="37" t="s">
        <v>51</v>
      </c>
    </row>
    <row r="40" spans="2:13" x14ac:dyDescent="0.3">
      <c r="B40" s="4" t="s">
        <v>83</v>
      </c>
      <c r="C40" s="21">
        <f>(K11*(1-C38))/(C39*K13*K17)</f>
        <v>7.6452805683051869E-6</v>
      </c>
      <c r="D40" s="5" t="s">
        <v>84</v>
      </c>
    </row>
    <row r="41" spans="2:13" x14ac:dyDescent="0.3">
      <c r="B41" s="4" t="s">
        <v>86</v>
      </c>
      <c r="C41" s="22">
        <v>5.5999999999999997E-6</v>
      </c>
      <c r="D41" s="5" t="s">
        <v>84</v>
      </c>
      <c r="F41" s="8" t="s">
        <v>88</v>
      </c>
      <c r="G41" s="9"/>
      <c r="H41" s="3"/>
    </row>
    <row r="42" spans="2:13" x14ac:dyDescent="0.3">
      <c r="B42" s="4" t="s">
        <v>87</v>
      </c>
      <c r="C42" s="22">
        <f>(K11*(1-K11/K10))/(C41*K17)</f>
        <v>6.3825984834945997</v>
      </c>
      <c r="D42" s="5" t="s">
        <v>6</v>
      </c>
      <c r="F42" s="4" t="s">
        <v>93</v>
      </c>
      <c r="G42" s="21">
        <v>100</v>
      </c>
      <c r="H42" s="5" t="s">
        <v>9</v>
      </c>
    </row>
    <row r="43" spans="2:13" x14ac:dyDescent="0.3">
      <c r="B43" s="4" t="s">
        <v>90</v>
      </c>
      <c r="C43" s="21">
        <v>4.4400000000000004E-3</v>
      </c>
      <c r="D43" s="5" t="s">
        <v>3</v>
      </c>
      <c r="F43" s="4" t="s">
        <v>99</v>
      </c>
      <c r="G43" s="21">
        <v>263</v>
      </c>
      <c r="H43" s="5" t="s">
        <v>100</v>
      </c>
    </row>
    <row r="44" spans="2:13" x14ac:dyDescent="0.3">
      <c r="B44" s="4" t="s">
        <v>92</v>
      </c>
      <c r="C44" s="22">
        <f>K13+C42</f>
        <v>21.382598483494601</v>
      </c>
      <c r="D44" s="5" t="s">
        <v>6</v>
      </c>
      <c r="F44" s="4" t="s">
        <v>102</v>
      </c>
      <c r="G44" s="21">
        <v>100</v>
      </c>
      <c r="H44" s="5" t="s">
        <v>103</v>
      </c>
    </row>
    <row r="45" spans="2:13" x14ac:dyDescent="0.3">
      <c r="B45" s="4" t="s">
        <v>94</v>
      </c>
      <c r="C45" s="22">
        <f>(K13+(C42/2))*0.005</f>
        <v>9.0956496208736498E-2</v>
      </c>
      <c r="D45" s="5"/>
      <c r="F45" s="8" t="s">
        <v>127</v>
      </c>
      <c r="G45" s="9">
        <v>8.0000000000000002E-3</v>
      </c>
      <c r="H45" s="3" t="s">
        <v>3</v>
      </c>
    </row>
    <row r="46" spans="2:13" x14ac:dyDescent="0.3">
      <c r="B46" s="4" t="s">
        <v>96</v>
      </c>
      <c r="C46" s="21">
        <v>21</v>
      </c>
      <c r="D46" s="5" t="s">
        <v>6</v>
      </c>
      <c r="F46" s="16" t="s">
        <v>132</v>
      </c>
      <c r="G46" s="22">
        <f>87*10^-9</f>
        <v>8.7000000000000011E-8</v>
      </c>
      <c r="H46" s="5" t="s">
        <v>30</v>
      </c>
    </row>
    <row r="47" spans="2:13" x14ac:dyDescent="0.3">
      <c r="B47" s="4" t="s">
        <v>98</v>
      </c>
      <c r="C47" s="23">
        <f>C45/(50*C9)</f>
        <v>363.82598483494598</v>
      </c>
      <c r="D47" s="5"/>
      <c r="F47" s="35" t="s">
        <v>130</v>
      </c>
      <c r="G47" s="21">
        <f>1850*10^-12</f>
        <v>1.85E-9</v>
      </c>
      <c r="H47" s="33" t="s">
        <v>51</v>
      </c>
    </row>
    <row r="48" spans="2:13" x14ac:dyDescent="0.3">
      <c r="B48" s="6" t="s">
        <v>101</v>
      </c>
      <c r="C48" s="12">
        <f>0.005*(15+(C42/2))</f>
        <v>9.0956496208736498E-2</v>
      </c>
      <c r="D48" s="7"/>
      <c r="F48" s="35" t="s">
        <v>129</v>
      </c>
      <c r="G48" s="22">
        <f>310*10^-9</f>
        <v>3.1E-7</v>
      </c>
      <c r="H48" s="33" t="s">
        <v>51</v>
      </c>
    </row>
    <row r="49" spans="2:8" x14ac:dyDescent="0.3">
      <c r="F49" s="35" t="s">
        <v>131</v>
      </c>
      <c r="G49" s="21">
        <v>9</v>
      </c>
      <c r="H49" s="5" t="s">
        <v>9</v>
      </c>
    </row>
    <row r="50" spans="2:8" x14ac:dyDescent="0.3">
      <c r="B50" s="8" t="s">
        <v>104</v>
      </c>
      <c r="C50" s="9"/>
      <c r="D50" s="3"/>
      <c r="F50" s="39" t="s">
        <v>128</v>
      </c>
      <c r="G50" s="38">
        <v>1.4</v>
      </c>
      <c r="H50" s="37" t="s">
        <v>9</v>
      </c>
    </row>
    <row r="51" spans="2:8" x14ac:dyDescent="0.3">
      <c r="B51" s="4" t="s">
        <v>106</v>
      </c>
      <c r="C51" s="23">
        <f>$K$10*(($G$36*4*$K$17)+$K$19)</f>
        <v>6.7247897600000019</v>
      </c>
      <c r="D51" s="5" t="s">
        <v>105</v>
      </c>
    </row>
    <row r="52" spans="2:8" x14ac:dyDescent="0.3">
      <c r="B52" s="24" t="s">
        <v>108</v>
      </c>
      <c r="C52" s="23">
        <v>40</v>
      </c>
      <c r="D52" s="25" t="s">
        <v>109</v>
      </c>
    </row>
    <row r="53" spans="2:8" x14ac:dyDescent="0.3">
      <c r="B53" s="24" t="s">
        <v>110</v>
      </c>
      <c r="C53" s="23">
        <v>29</v>
      </c>
      <c r="D53" s="25" t="s">
        <v>111</v>
      </c>
      <c r="F53" s="8" t="s">
        <v>113</v>
      </c>
      <c r="G53" s="9"/>
      <c r="H53" s="3"/>
    </row>
    <row r="54" spans="2:8" x14ac:dyDescent="0.3">
      <c r="B54" s="26" t="s">
        <v>112</v>
      </c>
      <c r="C54" s="27">
        <f>(C51*C53)+C52</f>
        <v>235.01890304000005</v>
      </c>
      <c r="D54" s="28" t="s">
        <v>109</v>
      </c>
      <c r="F54" s="4" t="s">
        <v>117</v>
      </c>
      <c r="G54" s="21">
        <f>0.9+$G$45</f>
        <v>0.90800000000000003</v>
      </c>
      <c r="H54" s="5" t="s">
        <v>3</v>
      </c>
    </row>
    <row r="55" spans="2:8" x14ac:dyDescent="0.3">
      <c r="F55" s="4" t="s">
        <v>121</v>
      </c>
      <c r="G55" s="21">
        <f>30*10^-9</f>
        <v>3.0000000000000004E-8</v>
      </c>
      <c r="H55" s="5" t="s">
        <v>123</v>
      </c>
    </row>
    <row r="56" spans="2:8" x14ac:dyDescent="0.3">
      <c r="B56" s="8" t="s">
        <v>126</v>
      </c>
      <c r="C56" s="9"/>
      <c r="D56" s="3"/>
      <c r="F56" s="4" t="s">
        <v>114</v>
      </c>
      <c r="G56" s="23">
        <f>($K$13/2)^2*$G$45*$K$14</f>
        <v>0.26341463414634148</v>
      </c>
      <c r="H56" s="5" t="s">
        <v>105</v>
      </c>
    </row>
    <row r="57" spans="2:8" x14ac:dyDescent="0.3">
      <c r="B57" s="4" t="s">
        <v>106</v>
      </c>
      <c r="C57" s="23">
        <f>$K$10*(($G$36*2*$K$17)+$K$19)</f>
        <v>3.4533948800000007</v>
      </c>
      <c r="D57" s="5" t="s">
        <v>105</v>
      </c>
      <c r="F57" s="4" t="s">
        <v>133</v>
      </c>
      <c r="G57" s="22">
        <f>($K$10*$K$13/4)*($G$46*$G$54/(5.5-$G$49))+($K$10*$G$48)+($G$47*($K$10)^2)</f>
        <v>1.6721194285714285E-5</v>
      </c>
      <c r="H57" s="5" t="s">
        <v>105</v>
      </c>
    </row>
    <row r="58" spans="2:8" x14ac:dyDescent="0.3">
      <c r="B58" s="24" t="s">
        <v>108</v>
      </c>
      <c r="C58" s="23">
        <v>40</v>
      </c>
      <c r="D58" s="25" t="s">
        <v>109</v>
      </c>
      <c r="F58" s="4" t="s">
        <v>120</v>
      </c>
      <c r="G58" s="23">
        <f>$G$57+$G$56</f>
        <v>0.26343135534062717</v>
      </c>
      <c r="H58" s="5" t="s">
        <v>105</v>
      </c>
    </row>
    <row r="59" spans="2:8" x14ac:dyDescent="0.3">
      <c r="B59" s="24" t="s">
        <v>110</v>
      </c>
      <c r="C59" s="23">
        <v>29</v>
      </c>
      <c r="D59" s="25" t="s">
        <v>111</v>
      </c>
      <c r="F59" s="6" t="s">
        <v>124</v>
      </c>
      <c r="G59" s="27">
        <f>($K$13/2)^2*$G$45*(1-$K$14)+$G$50*$K$13/2*$G$55*$K$17</f>
        <v>0.30047676585365857</v>
      </c>
      <c r="H59" s="7" t="s">
        <v>105</v>
      </c>
    </row>
    <row r="60" spans="2:8" x14ac:dyDescent="0.3">
      <c r="B60" s="26" t="s">
        <v>112</v>
      </c>
      <c r="C60" s="27">
        <f>(C57*C59)+C58</f>
        <v>140.14845152000004</v>
      </c>
      <c r="D60" s="28" t="s">
        <v>109</v>
      </c>
    </row>
    <row r="61" spans="2:8" x14ac:dyDescent="0.3">
      <c r="F61" s="8" t="s">
        <v>125</v>
      </c>
      <c r="G61" s="9"/>
      <c r="H61" s="3"/>
    </row>
    <row r="62" spans="2:8" x14ac:dyDescent="0.3">
      <c r="F62" s="4" t="s">
        <v>117</v>
      </c>
      <c r="G62" s="21">
        <f>0.9+$G$45</f>
        <v>0.90800000000000003</v>
      </c>
      <c r="H62" s="5" t="s">
        <v>3</v>
      </c>
    </row>
    <row r="63" spans="2:8" x14ac:dyDescent="0.3">
      <c r="F63" s="4" t="s">
        <v>121</v>
      </c>
      <c r="G63" s="21">
        <f>30*10^-9</f>
        <v>3.0000000000000004E-8</v>
      </c>
      <c r="H63" s="5" t="s">
        <v>123</v>
      </c>
    </row>
    <row r="64" spans="2:8" x14ac:dyDescent="0.3">
      <c r="F64" s="4" t="s">
        <v>114</v>
      </c>
      <c r="G64" s="23">
        <f>($K$13)^2*$G$45*$K$14</f>
        <v>1.0536585365853659</v>
      </c>
      <c r="H64" s="5" t="s">
        <v>105</v>
      </c>
    </row>
    <row r="65" spans="6:9" x14ac:dyDescent="0.3">
      <c r="F65" s="4" t="s">
        <v>116</v>
      </c>
      <c r="G65" s="22">
        <f>($K$10*$K$13/2)*($G$46*$G$54/(5.5-$G$49))+($K$10*$G$48)+($G$47*($K$10)^2)</f>
        <v>1.231998857142857E-5</v>
      </c>
      <c r="H65" s="5" t="s">
        <v>105</v>
      </c>
    </row>
    <row r="66" spans="6:9" x14ac:dyDescent="0.3">
      <c r="F66" s="4" t="s">
        <v>120</v>
      </c>
      <c r="G66" s="23">
        <f>G64+G65</f>
        <v>1.0536708565739372</v>
      </c>
      <c r="H66" s="5" t="s">
        <v>105</v>
      </c>
    </row>
    <row r="67" spans="6:9" x14ac:dyDescent="0.3">
      <c r="F67" s="6" t="s">
        <v>124</v>
      </c>
      <c r="G67" s="27">
        <f>($K$13)^2*$G$45*(1-$K$14)+$G$50*$K$13*$G$55*$K$17</f>
        <v>0.97412426341463432</v>
      </c>
      <c r="H67" s="7" t="s">
        <v>105</v>
      </c>
    </row>
    <row r="69" spans="6:9" x14ac:dyDescent="0.3">
      <c r="I69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A8D62-FA96-436A-BFBB-305E2693CEA4}">
  <dimension ref="B4:M61"/>
  <sheetViews>
    <sheetView topLeftCell="A16" zoomScale="85" zoomScaleNormal="85" workbookViewId="0">
      <selection activeCell="B50" sqref="B50"/>
    </sheetView>
  </sheetViews>
  <sheetFormatPr defaultRowHeight="14.4" x14ac:dyDescent="0.3"/>
  <cols>
    <col min="2" max="2" width="31.5546875" bestFit="1" customWidth="1"/>
    <col min="3" max="3" width="12" bestFit="1" customWidth="1"/>
    <col min="6" max="6" width="27" bestFit="1" customWidth="1"/>
    <col min="7" max="7" width="12" bestFit="1" customWidth="1"/>
    <col min="9" max="9" width="19.109375" bestFit="1" customWidth="1"/>
    <col min="10" max="10" width="14.6640625" bestFit="1" customWidth="1"/>
    <col min="11" max="11" width="8.88671875" customWidth="1"/>
    <col min="12" max="12" width="5.33203125" bestFit="1" customWidth="1"/>
  </cols>
  <sheetData>
    <row r="4" spans="2:12" x14ac:dyDescent="0.3">
      <c r="B4" s="8" t="s">
        <v>0</v>
      </c>
      <c r="C4" s="9"/>
      <c r="D4" s="3"/>
      <c r="F4" s="8" t="s">
        <v>1</v>
      </c>
      <c r="G4" s="9"/>
      <c r="H4" s="3"/>
    </row>
    <row r="5" spans="2:12" x14ac:dyDescent="0.3">
      <c r="B5" s="6" t="s">
        <v>2</v>
      </c>
      <c r="C5" s="10">
        <f>56200</f>
        <v>56200</v>
      </c>
      <c r="D5" s="7" t="s">
        <v>3</v>
      </c>
      <c r="F5" s="4" t="s">
        <v>4</v>
      </c>
      <c r="G5" s="11">
        <f>C8/(K13+(C42/2))</f>
        <v>4.1228501056088471E-3</v>
      </c>
      <c r="H5" s="5" t="s">
        <v>3</v>
      </c>
    </row>
    <row r="6" spans="2:12" x14ac:dyDescent="0.3">
      <c r="F6" s="4" t="s">
        <v>5</v>
      </c>
      <c r="G6" s="11">
        <f>(K11*(1-(K11/K9)))/(C41*K17)</f>
        <v>2.3706794367265651</v>
      </c>
      <c r="H6" s="5" t="s">
        <v>6</v>
      </c>
    </row>
    <row r="7" spans="2:12" x14ac:dyDescent="0.3">
      <c r="B7" s="8" t="s">
        <v>7</v>
      </c>
      <c r="C7" s="9"/>
      <c r="D7" s="3"/>
      <c r="F7" s="4" t="s">
        <v>8</v>
      </c>
      <c r="G7" s="11">
        <f>G6*G5</f>
        <v>9.7739559660728406E-3</v>
      </c>
      <c r="H7" s="5" t="s">
        <v>9</v>
      </c>
    </row>
    <row r="8" spans="2:12" ht="15.6" x14ac:dyDescent="0.3">
      <c r="B8" s="4" t="s">
        <v>10</v>
      </c>
      <c r="C8">
        <v>7.4999999999999997E-2</v>
      </c>
      <c r="D8" s="5" t="s">
        <v>9</v>
      </c>
      <c r="F8" s="6" t="s">
        <v>11</v>
      </c>
      <c r="G8" s="10">
        <f>G5*(K13+(C42/2))</f>
        <v>7.4999999999999997E-2</v>
      </c>
      <c r="H8" s="7" t="s">
        <v>9</v>
      </c>
      <c r="J8" s="13" t="s">
        <v>12</v>
      </c>
      <c r="K8" s="13" t="s">
        <v>13</v>
      </c>
      <c r="L8" s="13" t="s">
        <v>14</v>
      </c>
    </row>
    <row r="9" spans="2:12" x14ac:dyDescent="0.3">
      <c r="B9" s="4" t="s">
        <v>15</v>
      </c>
      <c r="C9">
        <v>5.0000000000000004E-6</v>
      </c>
      <c r="D9" s="5" t="s">
        <v>6</v>
      </c>
      <c r="J9" s="1" t="s">
        <v>16</v>
      </c>
      <c r="K9" s="2">
        <v>30</v>
      </c>
      <c r="L9" s="2" t="s">
        <v>9</v>
      </c>
    </row>
    <row r="10" spans="2:12" x14ac:dyDescent="0.3">
      <c r="B10" s="6" t="s">
        <v>17</v>
      </c>
      <c r="C10" s="10">
        <f>C8/(C9*50)</f>
        <v>300</v>
      </c>
      <c r="D10" s="7" t="s">
        <v>18</v>
      </c>
      <c r="F10" s="8" t="s">
        <v>19</v>
      </c>
      <c r="G10" s="9"/>
      <c r="H10" s="3"/>
      <c r="J10" s="1" t="s">
        <v>20</v>
      </c>
      <c r="K10" s="2">
        <v>52</v>
      </c>
      <c r="L10" s="2" t="s">
        <v>9</v>
      </c>
    </row>
    <row r="11" spans="2:12" x14ac:dyDescent="0.3">
      <c r="F11" s="4" t="s">
        <v>21</v>
      </c>
      <c r="G11">
        <v>0.9</v>
      </c>
      <c r="H11" s="5" t="s">
        <v>22</v>
      </c>
      <c r="J11" s="1" t="s">
        <v>23</v>
      </c>
      <c r="K11" s="2">
        <v>24</v>
      </c>
      <c r="L11" s="2" t="s">
        <v>9</v>
      </c>
    </row>
    <row r="12" spans="2:12" x14ac:dyDescent="0.3">
      <c r="B12" s="8" t="s">
        <v>24</v>
      </c>
      <c r="C12" s="9"/>
      <c r="D12" s="3"/>
      <c r="F12" s="4" t="s">
        <v>25</v>
      </c>
      <c r="G12">
        <v>0.3</v>
      </c>
      <c r="H12" s="5" t="s">
        <v>9</v>
      </c>
      <c r="J12" s="1" t="s">
        <v>26</v>
      </c>
      <c r="K12" s="2">
        <v>30</v>
      </c>
      <c r="L12" s="2" t="s">
        <v>6</v>
      </c>
    </row>
    <row r="13" spans="2:12" x14ac:dyDescent="0.3">
      <c r="B13" s="4" t="s">
        <v>27</v>
      </c>
      <c r="C13" s="11">
        <v>1.1999999999999999E-7</v>
      </c>
      <c r="D13" s="5" t="s">
        <v>28</v>
      </c>
      <c r="F13" s="6" t="s">
        <v>29</v>
      </c>
      <c r="G13" s="10">
        <f>(K12*C38*(1-C38))/(G11*G12*K17)</f>
        <v>7.4588103105416415E-5</v>
      </c>
      <c r="H13" s="7" t="s">
        <v>30</v>
      </c>
      <c r="J13" s="1" t="s">
        <v>31</v>
      </c>
      <c r="K13" s="2">
        <f>K12/2</f>
        <v>15</v>
      </c>
      <c r="L13" s="2" t="s">
        <v>6</v>
      </c>
    </row>
    <row r="14" spans="2:12" x14ac:dyDescent="0.3">
      <c r="B14" s="4" t="s">
        <v>32</v>
      </c>
      <c r="C14" s="11">
        <v>1.55E-7</v>
      </c>
      <c r="D14" s="5" t="s">
        <v>28</v>
      </c>
      <c r="J14" s="1" t="s">
        <v>33</v>
      </c>
      <c r="K14" s="2">
        <f>C38</f>
        <v>0.58536585365853655</v>
      </c>
      <c r="L14" s="2"/>
    </row>
    <row r="15" spans="2:12" x14ac:dyDescent="0.3">
      <c r="B15" s="4" t="s">
        <v>34</v>
      </c>
      <c r="C15" s="11">
        <f>K18</f>
        <v>750000</v>
      </c>
      <c r="D15" s="5" t="s">
        <v>35</v>
      </c>
      <c r="F15" s="8" t="s">
        <v>36</v>
      </c>
      <c r="G15" s="9"/>
      <c r="H15" s="3"/>
      <c r="J15" s="1" t="s">
        <v>37</v>
      </c>
      <c r="K15" s="2">
        <f>G42</f>
        <v>8.0999999999999996E-3</v>
      </c>
      <c r="L15" s="2" t="s">
        <v>3</v>
      </c>
    </row>
    <row r="16" spans="2:12" x14ac:dyDescent="0.3">
      <c r="B16" s="4" t="s">
        <v>38</v>
      </c>
      <c r="C16">
        <f>((K11+K12*(K15+C43))/(1-C15*C13))+(K12*K15*K16)</f>
        <v>26.789001267032969</v>
      </c>
      <c r="D16" s="5" t="s">
        <v>9</v>
      </c>
      <c r="F16" s="4" t="s">
        <v>39</v>
      </c>
      <c r="G16">
        <v>2.5000000000000001E-2</v>
      </c>
      <c r="H16" s="5" t="s">
        <v>9</v>
      </c>
      <c r="J16" s="1" t="s">
        <v>40</v>
      </c>
      <c r="K16" s="2">
        <f>G42</f>
        <v>8.0999999999999996E-3</v>
      </c>
      <c r="L16" s="2" t="s">
        <v>3</v>
      </c>
    </row>
    <row r="17" spans="2:12" x14ac:dyDescent="0.3">
      <c r="B17" s="6" t="s">
        <v>41</v>
      </c>
      <c r="C17" s="10">
        <f>K11/(K18*C14)</f>
        <v>206.45161290322582</v>
      </c>
      <c r="D17" s="7" t="s">
        <v>9</v>
      </c>
      <c r="F17" s="4" t="s">
        <v>42</v>
      </c>
      <c r="G17">
        <f>G16-G18</f>
        <v>1.2500000000000001E-2</v>
      </c>
      <c r="H17" s="5" t="s">
        <v>9</v>
      </c>
      <c r="J17" s="14" t="s">
        <v>43</v>
      </c>
      <c r="K17" s="2">
        <f>C5*8.8-133000</f>
        <v>361560.00000000006</v>
      </c>
      <c r="L17" s="2" t="s">
        <v>35</v>
      </c>
    </row>
    <row r="18" spans="2:12" x14ac:dyDescent="0.3">
      <c r="F18" s="4" t="s">
        <v>44</v>
      </c>
      <c r="G18">
        <f>G16*0.5</f>
        <v>1.2500000000000001E-2</v>
      </c>
      <c r="H18" s="5" t="s">
        <v>9</v>
      </c>
      <c r="J18" s="14" t="s">
        <v>45</v>
      </c>
      <c r="K18" s="2">
        <v>750000</v>
      </c>
      <c r="L18" s="2" t="s">
        <v>35</v>
      </c>
    </row>
    <row r="19" spans="2:12" x14ac:dyDescent="0.3">
      <c r="B19" s="8" t="s">
        <v>46</v>
      </c>
      <c r="C19" s="9"/>
      <c r="D19" s="3"/>
      <c r="F19" s="4" t="s">
        <v>47</v>
      </c>
      <c r="G19" s="11">
        <f>G17/C42</f>
        <v>1.9584500000000005E-3</v>
      </c>
      <c r="H19" s="5" t="s">
        <v>48</v>
      </c>
      <c r="J19" s="18" t="s">
        <v>107</v>
      </c>
      <c r="K19" s="19">
        <v>3.5000000000000001E-3</v>
      </c>
      <c r="L19" s="20" t="s">
        <v>6</v>
      </c>
    </row>
    <row r="20" spans="2:12" x14ac:dyDescent="0.3">
      <c r="B20" s="4" t="s">
        <v>49</v>
      </c>
      <c r="D20" s="5"/>
      <c r="F20" s="6" t="s">
        <v>50</v>
      </c>
      <c r="G20" s="12">
        <f>C42/(8*K17*G18)</f>
        <v>1.7652944140653275E-4</v>
      </c>
      <c r="H20" s="7" t="s">
        <v>51</v>
      </c>
    </row>
    <row r="21" spans="2:12" x14ac:dyDescent="0.3">
      <c r="B21" s="4" t="s">
        <v>52</v>
      </c>
      <c r="C21">
        <v>25</v>
      </c>
      <c r="D21" s="5" t="s">
        <v>9</v>
      </c>
    </row>
    <row r="22" spans="2:12" x14ac:dyDescent="0.3">
      <c r="B22" s="4" t="s">
        <v>53</v>
      </c>
      <c r="C22">
        <f>(C21-1.25)/1.25*C23</f>
        <v>190000</v>
      </c>
      <c r="D22" s="5" t="s">
        <v>3</v>
      </c>
      <c r="F22" s="8" t="s">
        <v>54</v>
      </c>
      <c r="G22" s="9"/>
      <c r="H22" s="3"/>
    </row>
    <row r="23" spans="2:12" x14ac:dyDescent="0.3">
      <c r="B23" s="6" t="s">
        <v>55</v>
      </c>
      <c r="C23" s="10">
        <v>10000</v>
      </c>
      <c r="D23" s="7" t="s">
        <v>3</v>
      </c>
      <c r="F23" s="4" t="s">
        <v>56</v>
      </c>
      <c r="G23">
        <f>K17/15</f>
        <v>24104.000000000004</v>
      </c>
      <c r="H23" s="5" t="s">
        <v>35</v>
      </c>
    </row>
    <row r="24" spans="2:12" x14ac:dyDescent="0.3">
      <c r="F24" s="4" t="s">
        <v>50</v>
      </c>
      <c r="G24">
        <f>G20</f>
        <v>1.7652944140653275E-4</v>
      </c>
      <c r="H24" s="5" t="s">
        <v>51</v>
      </c>
    </row>
    <row r="25" spans="2:12" x14ac:dyDescent="0.3">
      <c r="B25" s="8" t="s">
        <v>57</v>
      </c>
      <c r="C25" s="9"/>
      <c r="D25" s="3"/>
      <c r="F25" s="4" t="s">
        <v>58</v>
      </c>
      <c r="G25">
        <v>13.3</v>
      </c>
      <c r="H25" s="5" t="s">
        <v>59</v>
      </c>
    </row>
    <row r="26" spans="2:12" x14ac:dyDescent="0.3">
      <c r="B26" s="4" t="s">
        <v>60</v>
      </c>
      <c r="D26" s="5"/>
      <c r="F26" s="4" t="s">
        <v>4</v>
      </c>
      <c r="G26">
        <v>5.0000000000000001E-3</v>
      </c>
      <c r="H26" s="5" t="s">
        <v>3</v>
      </c>
    </row>
    <row r="27" spans="2:12" x14ac:dyDescent="0.3">
      <c r="B27" s="4" t="s">
        <v>61</v>
      </c>
      <c r="C27">
        <f>0.001*K11</f>
        <v>2.4E-2</v>
      </c>
      <c r="D27" s="5"/>
      <c r="F27" s="4" t="s">
        <v>62</v>
      </c>
      <c r="G27">
        <v>2E-3</v>
      </c>
      <c r="H27" s="5" t="s">
        <v>63</v>
      </c>
    </row>
    <row r="28" spans="2:12" x14ac:dyDescent="0.3">
      <c r="B28" s="4" t="s">
        <v>64</v>
      </c>
      <c r="C28" s="11">
        <v>9.9999999999999995E-8</v>
      </c>
      <c r="D28" s="5" t="s">
        <v>6</v>
      </c>
      <c r="F28" s="4" t="s">
        <v>65</v>
      </c>
      <c r="G28">
        <f>0.8/K11</f>
        <v>3.3333333333333333E-2</v>
      </c>
      <c r="H28" s="5" t="s">
        <v>59</v>
      </c>
    </row>
    <row r="29" spans="2:12" x14ac:dyDescent="0.3">
      <c r="B29" s="4" t="s">
        <v>66</v>
      </c>
      <c r="C29">
        <f>C27/C28</f>
        <v>240000.00000000003</v>
      </c>
      <c r="D29" s="5" t="s">
        <v>3</v>
      </c>
      <c r="F29" s="4" t="s">
        <v>67</v>
      </c>
      <c r="G29">
        <f>(2*PI()*G23*G24*G25*G26)/(G27*G28)</f>
        <v>26668.527593724786</v>
      </c>
      <c r="H29" s="5" t="s">
        <v>3</v>
      </c>
    </row>
    <row r="30" spans="2:12" x14ac:dyDescent="0.3">
      <c r="B30" s="4" t="s">
        <v>53</v>
      </c>
      <c r="C30">
        <v>187000</v>
      </c>
      <c r="D30" s="5" t="s">
        <v>3</v>
      </c>
      <c r="F30" s="4" t="s">
        <v>68</v>
      </c>
      <c r="G30">
        <f>1/(2*PI()*G24*(K11/K13))</f>
        <v>563.48583352370747</v>
      </c>
      <c r="H30" s="5" t="s">
        <v>35</v>
      </c>
    </row>
    <row r="31" spans="2:12" x14ac:dyDescent="0.3">
      <c r="B31" s="6" t="s">
        <v>55</v>
      </c>
      <c r="C31" s="10">
        <f>C30/((K11/0.8)-1)</f>
        <v>6448.2758620689656</v>
      </c>
      <c r="D31" s="7" t="s">
        <v>3</v>
      </c>
      <c r="F31" s="4" t="s">
        <v>69</v>
      </c>
      <c r="G31">
        <f>1/(2*PI()*G30*G29)</f>
        <v>1.0591027392037698E-8</v>
      </c>
      <c r="H31" s="5" t="s">
        <v>51</v>
      </c>
    </row>
    <row r="32" spans="2:12" x14ac:dyDescent="0.3">
      <c r="F32" s="4" t="s">
        <v>70</v>
      </c>
      <c r="G32">
        <f>K17/2</f>
        <v>180780.00000000003</v>
      </c>
      <c r="H32" s="5" t="s">
        <v>35</v>
      </c>
    </row>
    <row r="33" spans="2:13" x14ac:dyDescent="0.3">
      <c r="B33" s="8" t="s">
        <v>71</v>
      </c>
      <c r="C33" s="9"/>
      <c r="D33" s="3"/>
      <c r="F33" s="6" t="s">
        <v>72</v>
      </c>
      <c r="G33" s="10">
        <f>1/(2*PI()*G29*G32)</f>
        <v>3.3011914469934609E-11</v>
      </c>
      <c r="H33" s="7" t="s">
        <v>51</v>
      </c>
      <c r="M33" s="11"/>
    </row>
    <row r="34" spans="2:13" x14ac:dyDescent="0.3">
      <c r="B34" s="4" t="s">
        <v>73</v>
      </c>
      <c r="C34">
        <v>1E-3</v>
      </c>
      <c r="D34" s="5" t="s">
        <v>28</v>
      </c>
      <c r="J34" s="11"/>
      <c r="M34" s="11"/>
    </row>
    <row r="35" spans="2:13" x14ac:dyDescent="0.3">
      <c r="B35" s="6" t="s">
        <v>74</v>
      </c>
      <c r="C35" s="10">
        <f>C34*5/0.8</f>
        <v>6.2499999999999995E-3</v>
      </c>
      <c r="D35" s="7" t="s">
        <v>75</v>
      </c>
      <c r="F35" s="29" t="s">
        <v>76</v>
      </c>
      <c r="G35" s="30"/>
      <c r="H35" s="31"/>
      <c r="J35" s="11"/>
    </row>
    <row r="36" spans="2:13" x14ac:dyDescent="0.3">
      <c r="F36" s="24" t="s">
        <v>79</v>
      </c>
      <c r="G36" s="32">
        <f>G45</f>
        <v>1.08E-7</v>
      </c>
      <c r="H36" s="33" t="s">
        <v>30</v>
      </c>
      <c r="M36" s="11"/>
    </row>
    <row r="37" spans="2:13" x14ac:dyDescent="0.3">
      <c r="B37" s="8" t="s">
        <v>77</v>
      </c>
      <c r="C37" s="9" t="s">
        <v>78</v>
      </c>
      <c r="D37" s="3"/>
      <c r="F37" s="24" t="s">
        <v>80</v>
      </c>
      <c r="G37" s="34">
        <v>0.125</v>
      </c>
      <c r="H37" s="33" t="s">
        <v>9</v>
      </c>
      <c r="J37" s="11"/>
    </row>
    <row r="38" spans="2:13" x14ac:dyDescent="0.3">
      <c r="B38" s="4" t="s">
        <v>33</v>
      </c>
      <c r="C38" s="21">
        <f>K11/((K9+K10)/2)</f>
        <v>0.58536585365853655</v>
      </c>
      <c r="D38" s="5"/>
      <c r="F38" s="35" t="s">
        <v>82</v>
      </c>
      <c r="G38" s="34"/>
      <c r="H38" s="33"/>
    </row>
    <row r="39" spans="2:13" x14ac:dyDescent="0.3">
      <c r="B39" s="4" t="s">
        <v>81</v>
      </c>
      <c r="C39" s="21">
        <v>0.24</v>
      </c>
      <c r="D39" s="5"/>
      <c r="F39" s="26" t="s">
        <v>85</v>
      </c>
      <c r="G39" s="36">
        <f>G36/G37</f>
        <v>8.6400000000000001E-7</v>
      </c>
      <c r="H39" s="37" t="s">
        <v>51</v>
      </c>
    </row>
    <row r="40" spans="2:13" x14ac:dyDescent="0.3">
      <c r="B40" s="4" t="s">
        <v>83</v>
      </c>
      <c r="C40" s="21">
        <f>(K11*(1-C38))/(C39*K13*K17)</f>
        <v>7.6452805683051869E-6</v>
      </c>
      <c r="D40" s="5" t="s">
        <v>84</v>
      </c>
    </row>
    <row r="41" spans="2:13" x14ac:dyDescent="0.3">
      <c r="B41" s="4" t="s">
        <v>86</v>
      </c>
      <c r="C41" s="22">
        <v>5.5999999999999997E-6</v>
      </c>
      <c r="D41" s="5" t="s">
        <v>84</v>
      </c>
      <c r="F41" s="8" t="s">
        <v>88</v>
      </c>
      <c r="G41" s="9" t="s">
        <v>89</v>
      </c>
      <c r="H41" s="3"/>
    </row>
    <row r="42" spans="2:13" x14ac:dyDescent="0.3">
      <c r="B42" s="4" t="s">
        <v>87</v>
      </c>
      <c r="C42" s="22">
        <f>(K11*(1-K11/K10))/(C41*K17)</f>
        <v>6.3825984834945997</v>
      </c>
      <c r="D42" s="5" t="s">
        <v>6</v>
      </c>
      <c r="F42" s="4" t="s">
        <v>91</v>
      </c>
      <c r="G42" s="21">
        <v>8.0999999999999996E-3</v>
      </c>
      <c r="H42" s="5" t="s">
        <v>3</v>
      </c>
    </row>
    <row r="43" spans="2:13" x14ac:dyDescent="0.3">
      <c r="B43" s="4" t="s">
        <v>90</v>
      </c>
      <c r="C43" s="21">
        <v>4.4400000000000004E-3</v>
      </c>
      <c r="D43" s="5" t="s">
        <v>3</v>
      </c>
      <c r="F43" s="4" t="s">
        <v>93</v>
      </c>
      <c r="G43" s="21">
        <v>100</v>
      </c>
      <c r="H43" s="5" t="s">
        <v>9</v>
      </c>
    </row>
    <row r="44" spans="2:13" x14ac:dyDescent="0.3">
      <c r="B44" s="4" t="s">
        <v>92</v>
      </c>
      <c r="C44" s="22">
        <f>K13+C42</f>
        <v>21.382598483494601</v>
      </c>
      <c r="D44" s="5" t="s">
        <v>6</v>
      </c>
      <c r="F44" s="4" t="s">
        <v>95</v>
      </c>
      <c r="G44" s="21">
        <v>4.8</v>
      </c>
      <c r="H44" s="5" t="s">
        <v>9</v>
      </c>
    </row>
    <row r="45" spans="2:13" x14ac:dyDescent="0.3">
      <c r="B45" s="4" t="s">
        <v>94</v>
      </c>
      <c r="C45" s="22">
        <f>(K13+(C42/2))*0.005</f>
        <v>9.0956496208736498E-2</v>
      </c>
      <c r="D45" s="5"/>
      <c r="F45" s="4" t="s">
        <v>97</v>
      </c>
      <c r="G45" s="22">
        <v>1.08E-7</v>
      </c>
      <c r="H45" s="5" t="s">
        <v>30</v>
      </c>
    </row>
    <row r="46" spans="2:13" x14ac:dyDescent="0.3">
      <c r="B46" s="4" t="s">
        <v>96</v>
      </c>
      <c r="C46" s="21">
        <v>21</v>
      </c>
      <c r="D46" s="5" t="s">
        <v>6</v>
      </c>
      <c r="F46" s="4" t="s">
        <v>99</v>
      </c>
      <c r="G46" s="21">
        <v>263</v>
      </c>
      <c r="H46" s="5" t="s">
        <v>100</v>
      </c>
    </row>
    <row r="47" spans="2:13" x14ac:dyDescent="0.3">
      <c r="B47" s="4" t="s">
        <v>98</v>
      </c>
      <c r="C47" s="23">
        <f>C45/(50*C9)</f>
        <v>363.82598483494598</v>
      </c>
      <c r="D47" s="5"/>
      <c r="F47" s="4" t="s">
        <v>102</v>
      </c>
      <c r="G47" s="21">
        <v>100</v>
      </c>
      <c r="H47" s="5" t="s">
        <v>103</v>
      </c>
    </row>
    <row r="48" spans="2:13" x14ac:dyDescent="0.3">
      <c r="B48" s="6" t="s">
        <v>101</v>
      </c>
      <c r="C48" s="12">
        <f>0.005*(15+(C42/2))</f>
        <v>9.0956496208736498E-2</v>
      </c>
      <c r="D48" s="7"/>
      <c r="F48" s="24" t="s">
        <v>118</v>
      </c>
      <c r="G48" s="21">
        <f>625*10^-12</f>
        <v>6.2500000000000001E-10</v>
      </c>
      <c r="H48" s="33" t="s">
        <v>51</v>
      </c>
    </row>
    <row r="49" spans="2:8" x14ac:dyDescent="0.3">
      <c r="F49" s="24" t="s">
        <v>115</v>
      </c>
      <c r="G49" s="22">
        <f>134*10^-9</f>
        <v>1.3400000000000001E-7</v>
      </c>
      <c r="H49" s="33" t="s">
        <v>51</v>
      </c>
    </row>
    <row r="50" spans="2:8" x14ac:dyDescent="0.3">
      <c r="B50" s="8" t="s">
        <v>104</v>
      </c>
      <c r="C50" s="9"/>
      <c r="D50" s="3"/>
      <c r="F50" s="24" t="s">
        <v>119</v>
      </c>
      <c r="G50" s="21">
        <v>3</v>
      </c>
      <c r="H50" s="5" t="s">
        <v>9</v>
      </c>
    </row>
    <row r="51" spans="2:8" x14ac:dyDescent="0.3">
      <c r="B51" s="4" t="s">
        <v>106</v>
      </c>
      <c r="C51" s="23">
        <f>K10*((G36*4*K17)+K19)</f>
        <v>8.3040838400000005</v>
      </c>
      <c r="D51" s="5" t="s">
        <v>105</v>
      </c>
      <c r="F51" s="26" t="s">
        <v>122</v>
      </c>
      <c r="G51" s="38">
        <v>1.2</v>
      </c>
      <c r="H51" s="37" t="s">
        <v>9</v>
      </c>
    </row>
    <row r="52" spans="2:8" x14ac:dyDescent="0.3">
      <c r="B52" s="24" t="s">
        <v>108</v>
      </c>
      <c r="C52" s="23">
        <v>40</v>
      </c>
      <c r="D52" s="25" t="s">
        <v>109</v>
      </c>
    </row>
    <row r="53" spans="2:8" x14ac:dyDescent="0.3">
      <c r="B53" s="24" t="s">
        <v>110</v>
      </c>
      <c r="C53" s="23">
        <v>29</v>
      </c>
      <c r="D53" s="25" t="s">
        <v>111</v>
      </c>
      <c r="F53" s="8" t="s">
        <v>113</v>
      </c>
      <c r="G53" s="9"/>
      <c r="H53" s="3"/>
    </row>
    <row r="54" spans="2:8" x14ac:dyDescent="0.3">
      <c r="B54" s="26" t="s">
        <v>112</v>
      </c>
      <c r="C54" s="27">
        <f>(C51*C53)+C52</f>
        <v>280.81843135999998</v>
      </c>
      <c r="D54" s="28" t="s">
        <v>109</v>
      </c>
      <c r="F54" s="4" t="s">
        <v>117</v>
      </c>
      <c r="G54" s="21">
        <f>0.9+G42</f>
        <v>0.90810000000000002</v>
      </c>
      <c r="H54" s="5" t="s">
        <v>3</v>
      </c>
    </row>
    <row r="55" spans="2:8" x14ac:dyDescent="0.3">
      <c r="F55" s="4" t="s">
        <v>121</v>
      </c>
      <c r="G55" s="21">
        <f>30*10^-9</f>
        <v>3.0000000000000004E-8</v>
      </c>
      <c r="H55" s="5" t="s">
        <v>123</v>
      </c>
    </row>
    <row r="56" spans="2:8" x14ac:dyDescent="0.3">
      <c r="F56" s="4" t="s">
        <v>114</v>
      </c>
      <c r="G56" s="22">
        <f>(K13/2)^2*G42*K14</f>
        <v>0.26670731707317069</v>
      </c>
      <c r="H56" s="5" t="s">
        <v>105</v>
      </c>
    </row>
    <row r="57" spans="2:8" x14ac:dyDescent="0.3">
      <c r="F57" s="4" t="s">
        <v>116</v>
      </c>
      <c r="G57" s="22">
        <f>(K10*K13/4)*(G45*G54/(5.5-G50))+(K10*G49)+(G48*K10^2)</f>
        <v>1.6307834399999999E-5</v>
      </c>
      <c r="H57" s="5" t="s">
        <v>105</v>
      </c>
    </row>
    <row r="58" spans="2:8" x14ac:dyDescent="0.3">
      <c r="F58" s="4" t="s">
        <v>120</v>
      </c>
      <c r="G58" s="22">
        <f>G57+G56</f>
        <v>0.26672362490757068</v>
      </c>
      <c r="H58" s="5" t="s">
        <v>105</v>
      </c>
    </row>
    <row r="59" spans="2:8" x14ac:dyDescent="0.3">
      <c r="F59" s="6" t="s">
        <v>124</v>
      </c>
      <c r="G59" s="12">
        <f>(K13/2)^2*G42*(1-K14)+G51*K13/2*G55*K17</f>
        <v>0.28653888292682933</v>
      </c>
      <c r="H59" s="7" t="s">
        <v>105</v>
      </c>
    </row>
    <row r="61" spans="2:8" x14ac:dyDescent="0.3">
      <c r="G61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0701CC1EC74147A72BE8B0F5A26E20" ma:contentTypeVersion="13" ma:contentTypeDescription="Create a new document." ma:contentTypeScope="" ma:versionID="8ebf6d53d956cdef79e68be1560f9d67">
  <xsd:schema xmlns:xsd="http://www.w3.org/2001/XMLSchema" xmlns:xs="http://www.w3.org/2001/XMLSchema" xmlns:p="http://schemas.microsoft.com/office/2006/metadata/properties" xmlns:ns3="c2c0239c-8015-4a2b-9cb8-188eddb0c3b1" xmlns:ns4="dc17db58-7173-4b97-a5e0-4fde46d4419d" targetNamespace="http://schemas.microsoft.com/office/2006/metadata/properties" ma:root="true" ma:fieldsID="a1bf8ba571720aa4c397864da6a353f6" ns3:_="" ns4:_="">
    <xsd:import namespace="c2c0239c-8015-4a2b-9cb8-188eddb0c3b1"/>
    <xsd:import namespace="dc17db58-7173-4b97-a5e0-4fde46d4419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c0239c-8015-4a2b-9cb8-188eddb0c3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17db58-7173-4b97-a5e0-4fde46d441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9EA761-7028-46DB-8CB4-D9CDAA89DD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c0239c-8015-4a2b-9cb8-188eddb0c3b1"/>
    <ds:schemaRef ds:uri="dc17db58-7173-4b97-a5e0-4fde46d441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04C31E-2F17-41F7-960F-5BE2F964BB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625227-AAC1-4055-9ED3-B806F9ACE34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Rework</vt:lpstr>
      <vt:lpstr>Rev2 - IPB073N15N5ATMA1</vt:lpstr>
      <vt:lpstr>Rev2 - IRLS4030TRL7PP</vt:lpstr>
      <vt:lpstr>Rev2 - RJ1P12BBDTLL</vt:lpstr>
      <vt:lpstr>Rev2 - STH110N10F7-2</vt:lpstr>
      <vt:lpstr>Rev2 - IXTA130N15X4</vt:lpstr>
      <vt:lpstr>Original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Logan</dc:creator>
  <cp:keywords/>
  <dc:description/>
  <cp:lastModifiedBy>User</cp:lastModifiedBy>
  <cp:revision/>
  <dcterms:created xsi:type="dcterms:W3CDTF">2021-10-11T12:57:44Z</dcterms:created>
  <dcterms:modified xsi:type="dcterms:W3CDTF">2022-04-29T19:50:53Z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0x0101009A0701CC1EC74147A72BE8B0F5A26E20</vt:lpwstr>
  </property>
</Properties>
</file>