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Logan\Documents\Altium Projects\24V Multiphase Buck\"/>
    </mc:Choice>
  </mc:AlternateContent>
  <xr:revisionPtr revIDLastSave="0" documentId="8_{53960911-B2E5-4995-B377-4FAF6FAD186A}" xr6:coauthVersionLast="47" xr6:coauthVersionMax="47" xr10:uidLastSave="{00000000-0000-0000-0000-000000000000}"/>
  <bookViews>
    <workbookView xWindow="-120" yWindow="-120" windowWidth="29040" windowHeight="15840" xr2:uid="{966D6099-656F-453C-A914-3EE759F283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0" i="1" l="1"/>
  <c r="G5" i="1"/>
  <c r="G13" i="1"/>
  <c r="G20" i="1"/>
  <c r="G32" i="1"/>
  <c r="G7" i="1"/>
  <c r="G6" i="1"/>
  <c r="C42" i="1"/>
  <c r="G19" i="1" s="1"/>
  <c r="C44" i="1"/>
  <c r="C40" i="1"/>
  <c r="C38" i="1"/>
  <c r="C35" i="1"/>
  <c r="C31" i="1"/>
  <c r="C29" i="1"/>
  <c r="C27" i="1"/>
  <c r="C22" i="1"/>
  <c r="C10" i="1"/>
  <c r="C5" i="1"/>
  <c r="G18" i="1"/>
  <c r="K16" i="1"/>
  <c r="K15" i="1"/>
  <c r="G37" i="1"/>
  <c r="C17" i="1"/>
  <c r="C15" i="1"/>
  <c r="G28" i="1"/>
  <c r="G23" i="1"/>
  <c r="K13" i="1"/>
  <c r="K14" i="1"/>
  <c r="G17" i="1" l="1"/>
  <c r="C16" i="1"/>
  <c r="G24" i="1" l="1"/>
  <c r="G30" i="1" l="1"/>
  <c r="G8" i="1"/>
  <c r="G29" i="1" l="1"/>
  <c r="G33" i="1" s="1"/>
  <c r="G31" i="1"/>
</calcChain>
</file>

<file path=xl/sharedStrings.xml><?xml version="1.0" encoding="utf-8"?>
<sst xmlns="http://schemas.openxmlformats.org/spreadsheetml/2006/main" count="155" uniqueCount="101">
  <si>
    <r>
      <t>R</t>
    </r>
    <r>
      <rPr>
        <sz val="8"/>
        <color theme="1"/>
        <rFont val="Calibri"/>
        <family val="2"/>
        <scheme val="minor"/>
      </rPr>
      <t>RT</t>
    </r>
  </si>
  <si>
    <t>Frequency Selection</t>
  </si>
  <si>
    <t>Peak Current Limit</t>
  </si>
  <si>
    <t>VOUT</t>
  </si>
  <si>
    <r>
      <t>R</t>
    </r>
    <r>
      <rPr>
        <sz val="8"/>
        <color theme="1"/>
        <rFont val="Calibri"/>
        <family val="2"/>
        <scheme val="minor"/>
      </rPr>
      <t>SENSE</t>
    </r>
  </si>
  <si>
    <r>
      <t>R</t>
    </r>
    <r>
      <rPr>
        <sz val="8"/>
        <color theme="1"/>
        <rFont val="Calibri"/>
        <family val="2"/>
        <scheme val="minor"/>
      </rPr>
      <t>ILM</t>
    </r>
  </si>
  <si>
    <r>
      <t>R</t>
    </r>
    <r>
      <rPr>
        <b/>
        <sz val="8"/>
        <color theme="1"/>
        <rFont val="Calibri"/>
        <family val="2"/>
        <scheme val="minor"/>
      </rPr>
      <t>DS(ON)_LOW</t>
    </r>
  </si>
  <si>
    <r>
      <t>R</t>
    </r>
    <r>
      <rPr>
        <b/>
        <sz val="8"/>
        <color theme="1"/>
        <rFont val="Calibri"/>
        <family val="2"/>
        <scheme val="minor"/>
      </rPr>
      <t>DS(ON)_HIGH</t>
    </r>
  </si>
  <si>
    <t>F</t>
  </si>
  <si>
    <t>fSW_MAX</t>
  </si>
  <si>
    <r>
      <t>f</t>
    </r>
    <r>
      <rPr>
        <b/>
        <sz val="9"/>
        <color theme="1"/>
        <rFont val="Calibri"/>
        <family val="2"/>
        <scheme val="minor"/>
      </rPr>
      <t>SW</t>
    </r>
  </si>
  <si>
    <t>Operating Input Voltage Range</t>
  </si>
  <si>
    <r>
      <t>V</t>
    </r>
    <r>
      <rPr>
        <sz val="8"/>
        <color theme="1"/>
        <rFont val="Calibri"/>
        <family val="2"/>
        <scheme val="minor"/>
      </rPr>
      <t>IN_MAX</t>
    </r>
  </si>
  <si>
    <t>Input Undervoltage-Lockout Level</t>
  </si>
  <si>
    <t>R1</t>
  </si>
  <si>
    <t>R2</t>
  </si>
  <si>
    <r>
      <t>VIN</t>
    </r>
    <r>
      <rPr>
        <sz val="8"/>
        <color theme="1"/>
        <rFont val="Calibri"/>
        <family val="2"/>
        <scheme val="minor"/>
      </rPr>
      <t>UVLO</t>
    </r>
  </si>
  <si>
    <r>
      <t>VIN</t>
    </r>
    <r>
      <rPr>
        <b/>
        <sz val="8"/>
        <color theme="1"/>
        <rFont val="Calibri"/>
        <family val="2"/>
        <scheme val="minor"/>
      </rPr>
      <t>MIN</t>
    </r>
  </si>
  <si>
    <r>
      <t>VIN</t>
    </r>
    <r>
      <rPr>
        <b/>
        <sz val="8"/>
        <color theme="1"/>
        <rFont val="Calibri"/>
        <family val="2"/>
        <scheme val="minor"/>
      </rPr>
      <t>MAX</t>
    </r>
  </si>
  <si>
    <t>Setting the Output Voltage</t>
  </si>
  <si>
    <t>(Voltage divider on EN_ pins)</t>
  </si>
  <si>
    <t>(Voltage divider on FB_ pins)</t>
  </si>
  <si>
    <t>Alpha</t>
  </si>
  <si>
    <r>
      <t>I</t>
    </r>
    <r>
      <rPr>
        <sz val="8"/>
        <color theme="1"/>
        <rFont val="Calibri"/>
        <family val="2"/>
        <scheme val="minor"/>
      </rPr>
      <t>FB_</t>
    </r>
  </si>
  <si>
    <t>R1 &lt;</t>
  </si>
  <si>
    <t>Soft-Start Cap</t>
  </si>
  <si>
    <t>Time</t>
  </si>
  <si>
    <r>
      <t>C</t>
    </r>
    <r>
      <rPr>
        <sz val="8"/>
        <color theme="1"/>
        <rFont val="Calibri"/>
        <family val="2"/>
        <scheme val="minor"/>
      </rPr>
      <t>SS</t>
    </r>
  </si>
  <si>
    <t>uF</t>
  </si>
  <si>
    <r>
      <t>V</t>
    </r>
    <r>
      <rPr>
        <sz val="8"/>
        <color theme="1"/>
        <rFont val="Calibri"/>
        <family val="2"/>
        <scheme val="minor"/>
      </rPr>
      <t>IN_MIN</t>
    </r>
  </si>
  <si>
    <t>Inductor Selection</t>
  </si>
  <si>
    <t>D</t>
  </si>
  <si>
    <t>LIR</t>
  </si>
  <si>
    <t>L</t>
  </si>
  <si>
    <t>H</t>
  </si>
  <si>
    <t>Max Load Total</t>
  </si>
  <si>
    <t>Max Load Per</t>
  </si>
  <si>
    <t>V</t>
  </si>
  <si>
    <t>A</t>
  </si>
  <si>
    <t>Ohm</t>
  </si>
  <si>
    <t>Hz</t>
  </si>
  <si>
    <t>Parameter</t>
  </si>
  <si>
    <t>Value</t>
  </si>
  <si>
    <t>Unit</t>
  </si>
  <si>
    <t>Current Sensing</t>
  </si>
  <si>
    <t>Input Capacitor</t>
  </si>
  <si>
    <t>n</t>
  </si>
  <si>
    <t>Input Ripple</t>
  </si>
  <si>
    <t>Output Capacitor</t>
  </si>
  <si>
    <t>Max Inductor Ripple Current</t>
  </si>
  <si>
    <t>Max Output Ripple</t>
  </si>
  <si>
    <r>
      <t>V</t>
    </r>
    <r>
      <rPr>
        <sz val="8"/>
        <color theme="1"/>
        <rFont val="Calibri"/>
        <family val="2"/>
        <scheme val="minor"/>
      </rPr>
      <t>OUTESR_SS</t>
    </r>
  </si>
  <si>
    <r>
      <t>V</t>
    </r>
    <r>
      <rPr>
        <sz val="8"/>
        <color theme="1"/>
        <rFont val="Calibri"/>
        <family val="2"/>
        <scheme val="minor"/>
      </rPr>
      <t>OUTQ_SS</t>
    </r>
  </si>
  <si>
    <t>ESR</t>
  </si>
  <si>
    <r>
      <t>C</t>
    </r>
    <r>
      <rPr>
        <sz val="8"/>
        <color theme="1"/>
        <rFont val="Calibri"/>
        <family val="2"/>
        <scheme val="minor"/>
      </rPr>
      <t>OUT</t>
    </r>
  </si>
  <si>
    <t>Ohms</t>
  </si>
  <si>
    <t>Bootstrap Capacitor</t>
  </si>
  <si>
    <r>
      <rPr>
        <sz val="11"/>
        <color theme="1"/>
        <rFont val="Calibri"/>
        <family val="2"/>
        <scheme val="minor"/>
      </rPr>
      <t>∆V</t>
    </r>
    <r>
      <rPr>
        <sz val="8"/>
        <color theme="1"/>
        <rFont val="Calibri"/>
        <family val="2"/>
        <scheme val="minor"/>
      </rPr>
      <t>BST</t>
    </r>
  </si>
  <si>
    <r>
      <rPr>
        <sz val="11"/>
        <color theme="1"/>
        <rFont val="Calibri"/>
        <family val="2"/>
        <scheme val="minor"/>
      </rPr>
      <t>∆Q</t>
    </r>
    <r>
      <rPr>
        <sz val="8"/>
        <color theme="1"/>
        <rFont val="Calibri"/>
        <family val="2"/>
        <scheme val="minor"/>
      </rPr>
      <t>Gate</t>
    </r>
  </si>
  <si>
    <t>Want Low ESR</t>
  </si>
  <si>
    <t>CBST</t>
  </si>
  <si>
    <t>MOSFET Selection</t>
  </si>
  <si>
    <r>
      <t>R</t>
    </r>
    <r>
      <rPr>
        <sz val="8"/>
        <color theme="1"/>
        <rFont val="Calibri"/>
        <family val="2"/>
        <scheme val="minor"/>
      </rPr>
      <t>DS</t>
    </r>
  </si>
  <si>
    <r>
      <t>V</t>
    </r>
    <r>
      <rPr>
        <sz val="8"/>
        <color theme="1"/>
        <rFont val="Calibri"/>
        <family val="2"/>
        <scheme val="minor"/>
      </rPr>
      <t>DSMAX</t>
    </r>
  </si>
  <si>
    <r>
      <t>V</t>
    </r>
    <r>
      <rPr>
        <sz val="8"/>
        <color theme="1"/>
        <rFont val="Calibri"/>
        <family val="2"/>
        <scheme val="minor"/>
      </rPr>
      <t>MIL</t>
    </r>
  </si>
  <si>
    <r>
      <t>Q</t>
    </r>
    <r>
      <rPr>
        <sz val="8"/>
        <color theme="1"/>
        <rFont val="Calibri"/>
        <family val="2"/>
        <scheme val="minor"/>
      </rPr>
      <t>GATE</t>
    </r>
  </si>
  <si>
    <t>Power Diss. Rating</t>
  </si>
  <si>
    <r>
      <t>I</t>
    </r>
    <r>
      <rPr>
        <sz val="8"/>
        <color theme="1"/>
        <rFont val="Calibri"/>
        <family val="2"/>
        <scheme val="minor"/>
      </rPr>
      <t>LIM_</t>
    </r>
    <r>
      <rPr>
        <sz val="11"/>
        <color theme="1"/>
        <rFont val="Calibri"/>
        <family val="2"/>
        <scheme val="minor"/>
      </rPr>
      <t>Threshold/V</t>
    </r>
    <r>
      <rPr>
        <sz val="8"/>
        <color theme="1"/>
        <rFont val="Calibri"/>
        <family val="2"/>
        <scheme val="minor"/>
      </rPr>
      <t>CS</t>
    </r>
  </si>
  <si>
    <r>
      <t>I</t>
    </r>
    <r>
      <rPr>
        <sz val="8"/>
        <color theme="1"/>
        <rFont val="Calibri"/>
        <family val="2"/>
        <scheme val="minor"/>
      </rPr>
      <t>LIM</t>
    </r>
  </si>
  <si>
    <t>DCR</t>
  </si>
  <si>
    <t>s</t>
  </si>
  <si>
    <r>
      <t>t</t>
    </r>
    <r>
      <rPr>
        <sz val="8"/>
        <color theme="1"/>
        <rFont val="Calibri"/>
        <family val="2"/>
        <scheme val="minor"/>
      </rPr>
      <t>OFF_MIN</t>
    </r>
  </si>
  <si>
    <r>
      <t>t</t>
    </r>
    <r>
      <rPr>
        <sz val="8"/>
        <color theme="1"/>
        <rFont val="Calibri"/>
        <family val="2"/>
        <scheme val="minor"/>
      </rPr>
      <t>ON_MIN</t>
    </r>
  </si>
  <si>
    <r>
      <t>f</t>
    </r>
    <r>
      <rPr>
        <sz val="8"/>
        <color theme="1"/>
        <rFont val="Calibri"/>
        <family val="2"/>
        <scheme val="minor"/>
      </rPr>
      <t>SW_MAX</t>
    </r>
  </si>
  <si>
    <t>eff</t>
  </si>
  <si>
    <t>C</t>
  </si>
  <si>
    <r>
      <t>C</t>
    </r>
    <r>
      <rPr>
        <sz val="8"/>
        <color theme="1"/>
        <rFont val="Calibri"/>
        <family val="2"/>
        <scheme val="minor"/>
      </rPr>
      <t>IN</t>
    </r>
  </si>
  <si>
    <t>kOhm</t>
  </si>
  <si>
    <t>Loop Compensation</t>
  </si>
  <si>
    <r>
      <t>G</t>
    </r>
    <r>
      <rPr>
        <sz val="8"/>
        <color theme="1"/>
        <rFont val="Calibri"/>
        <family val="2"/>
        <scheme val="minor"/>
      </rPr>
      <t>FB</t>
    </r>
  </si>
  <si>
    <r>
      <t>G</t>
    </r>
    <r>
      <rPr>
        <sz val="8"/>
        <color theme="1"/>
        <rFont val="Calibri"/>
        <family val="2"/>
        <scheme val="minor"/>
      </rPr>
      <t>CS</t>
    </r>
  </si>
  <si>
    <r>
      <t>f</t>
    </r>
    <r>
      <rPr>
        <sz val="8"/>
        <color theme="1"/>
        <rFont val="Calibri"/>
        <family val="2"/>
        <scheme val="minor"/>
      </rPr>
      <t>CO</t>
    </r>
  </si>
  <si>
    <r>
      <t>f</t>
    </r>
    <r>
      <rPr>
        <sz val="8"/>
        <color theme="1"/>
        <rFont val="Calibri"/>
        <family val="2"/>
        <scheme val="minor"/>
      </rPr>
      <t>P_LOAD</t>
    </r>
  </si>
  <si>
    <r>
      <t>R</t>
    </r>
    <r>
      <rPr>
        <sz val="8"/>
        <color theme="1"/>
        <rFont val="Calibri"/>
        <family val="2"/>
        <scheme val="minor"/>
      </rPr>
      <t>Z</t>
    </r>
  </si>
  <si>
    <r>
      <t>g</t>
    </r>
    <r>
      <rPr>
        <sz val="8"/>
        <color theme="1"/>
        <rFont val="Calibri"/>
        <family val="2"/>
        <scheme val="minor"/>
      </rPr>
      <t>M</t>
    </r>
  </si>
  <si>
    <t>Cz</t>
  </si>
  <si>
    <r>
      <t>C</t>
    </r>
    <r>
      <rPr>
        <sz val="8"/>
        <color theme="1"/>
        <rFont val="Calibri"/>
        <family val="2"/>
        <scheme val="minor"/>
      </rPr>
      <t>F</t>
    </r>
  </si>
  <si>
    <r>
      <t>f</t>
    </r>
    <r>
      <rPr>
        <sz val="8"/>
        <color theme="1"/>
        <rFont val="Calibri"/>
        <family val="2"/>
        <scheme val="minor"/>
      </rPr>
      <t>P_EA</t>
    </r>
  </si>
  <si>
    <t>V/V</t>
  </si>
  <si>
    <t>A/V</t>
  </si>
  <si>
    <t>Min Inductor Ripple Current</t>
  </si>
  <si>
    <t>Min CS Ripple Voltage</t>
  </si>
  <si>
    <t>Max CS Ripple Voltage</t>
  </si>
  <si>
    <t>L Selected</t>
  </si>
  <si>
    <t>Max Inductor Peak Current</t>
  </si>
  <si>
    <t>Isat</t>
  </si>
  <si>
    <t>IHLP6767GZER5R6M11</t>
  </si>
  <si>
    <t>W (Tc)</t>
  </si>
  <si>
    <t>BUK768R1-100E,118</t>
  </si>
  <si>
    <t>Id</t>
  </si>
  <si>
    <t>A (Tc)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</si>
</sst>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2" xfId="0" applyFont="1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0" xfId="0" applyNumberFormat="1" applyBorder="1"/>
    <xf numFmtId="11" fontId="0" fillId="0" borderId="0" xfId="0" applyNumberFormat="1" applyBorder="1"/>
    <xf numFmtId="0" fontId="0" fillId="0" borderId="4" xfId="0" applyFont="1" applyBorder="1"/>
    <xf numFmtId="0" fontId="0" fillId="0" borderId="6" xfId="0" applyFont="1" applyBorder="1"/>
    <xf numFmtId="11" fontId="0" fillId="0" borderId="9" xfId="0" applyNumberFormat="1" applyBorder="1"/>
    <xf numFmtId="0" fontId="6" fillId="0" borderId="1" xfId="0" applyFont="1" applyBorder="1"/>
    <xf numFmtId="0" fontId="2" fillId="2" borderId="1" xfId="0" applyFont="1" applyFill="1" applyBorder="1"/>
    <xf numFmtId="0" fontId="0" fillId="2" borderId="4" xfId="0" applyFont="1" applyFill="1" applyBorder="1"/>
    <xf numFmtId="0" fontId="0" fillId="0" borderId="0" xfId="0" applyFill="1" applyBorder="1"/>
    <xf numFmtId="0" fontId="0" fillId="0" borderId="5" xfId="0" applyFill="1" applyBorder="1"/>
    <xf numFmtId="0" fontId="0" fillId="0" borderId="4" xfId="0" applyFill="1" applyBorder="1"/>
    <xf numFmtId="0" fontId="0" fillId="0" borderId="6" xfId="0" applyFill="1" applyBorder="1"/>
    <xf numFmtId="0" fontId="2" fillId="0" borderId="4" xfId="0" applyFont="1" applyBorder="1"/>
    <xf numFmtId="0" fontId="0" fillId="0" borderId="0" xfId="0" applyFont="1" applyFill="1" applyBorder="1"/>
    <xf numFmtId="11" fontId="0" fillId="0" borderId="0" xfId="0" applyNumberFormat="1" applyFill="1" applyBorder="1"/>
    <xf numFmtId="0" fontId="0" fillId="0" borderId="0" xfId="0" applyFill="1"/>
    <xf numFmtId="0" fontId="2" fillId="0" borderId="2" xfId="0" applyFont="1" applyFill="1" applyBorder="1"/>
    <xf numFmtId="0" fontId="0" fillId="0" borderId="8" xfId="0" applyFill="1" applyBorder="1"/>
    <xf numFmtId="0" fontId="0" fillId="0" borderId="3" xfId="0" applyFill="1" applyBorder="1"/>
    <xf numFmtId="0" fontId="0" fillId="0" borderId="9" xfId="0" applyFill="1" applyBorder="1"/>
    <xf numFmtId="0" fontId="0" fillId="0" borderId="7" xfId="0" applyFill="1" applyBorder="1"/>
    <xf numFmtId="0" fontId="0" fillId="0" borderId="4" xfId="0" applyFont="1" applyFill="1" applyBorder="1"/>
    <xf numFmtId="0" fontId="0" fillId="0" borderId="0" xfId="0" applyNumberFormat="1" applyFill="1" applyBorder="1"/>
    <xf numFmtId="0" fontId="0" fillId="0" borderId="9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A8D62-FA96-436A-BFBB-305E2693CEA4}">
  <dimension ref="B4:N57"/>
  <sheetViews>
    <sheetView tabSelected="1" topLeftCell="A3" zoomScale="85" zoomScaleNormal="85" workbookViewId="0">
      <selection activeCell="M41" sqref="M41"/>
    </sheetView>
  </sheetViews>
  <sheetFormatPr defaultRowHeight="15" x14ac:dyDescent="0.25"/>
  <cols>
    <col min="2" max="2" width="31.5703125" bestFit="1" customWidth="1"/>
    <col min="3" max="3" width="12" bestFit="1" customWidth="1"/>
    <col min="6" max="6" width="27" bestFit="1" customWidth="1"/>
    <col min="7" max="7" width="12" bestFit="1" customWidth="1"/>
    <col min="9" max="9" width="19.140625" bestFit="1" customWidth="1"/>
    <col min="10" max="10" width="14.7109375" bestFit="1" customWidth="1"/>
    <col min="11" max="11" width="8.85546875" customWidth="1"/>
    <col min="12" max="12" width="5.28515625" bestFit="1" customWidth="1"/>
  </cols>
  <sheetData>
    <row r="4" spans="2:12" x14ac:dyDescent="0.25">
      <c r="B4" s="8" t="s">
        <v>1</v>
      </c>
      <c r="C4" s="9"/>
      <c r="D4" s="3"/>
      <c r="F4" s="8" t="s">
        <v>44</v>
      </c>
      <c r="G4" s="9"/>
      <c r="H4" s="3"/>
    </row>
    <row r="5" spans="2:12" x14ac:dyDescent="0.25">
      <c r="B5" s="6" t="s">
        <v>0</v>
      </c>
      <c r="C5" s="10">
        <f>(K17+133)/8.8</f>
        <v>56199.999999999993</v>
      </c>
      <c r="D5" s="7" t="s">
        <v>39</v>
      </c>
      <c r="F5" s="4" t="s">
        <v>4</v>
      </c>
      <c r="G5" s="13">
        <f>C8/(K13+(C42/2))</f>
        <v>4.3268306067504618E-3</v>
      </c>
      <c r="H5" s="5" t="s">
        <v>39</v>
      </c>
    </row>
    <row r="6" spans="2:12" x14ac:dyDescent="0.25">
      <c r="F6" s="4" t="s">
        <v>90</v>
      </c>
      <c r="G6" s="13">
        <f>(K11*(1-(K11/K9)))/(C41*K17)</f>
        <v>1.733608514791581</v>
      </c>
      <c r="H6" s="5" t="s">
        <v>38</v>
      </c>
    </row>
    <row r="7" spans="2:12" x14ac:dyDescent="0.25">
      <c r="B7" s="28" t="s">
        <v>2</v>
      </c>
      <c r="C7" s="29"/>
      <c r="D7" s="30"/>
      <c r="F7" s="4" t="s">
        <v>91</v>
      </c>
      <c r="G7" s="13">
        <f>G6*G5</f>
        <v>7.5010303819234231E-3</v>
      </c>
      <c r="H7" s="5" t="s">
        <v>37</v>
      </c>
    </row>
    <row r="8" spans="2:12" ht="15.75" x14ac:dyDescent="0.25">
      <c r="B8" s="22" t="s">
        <v>67</v>
      </c>
      <c r="C8" s="20">
        <v>7.4999999999999997E-2</v>
      </c>
      <c r="D8" s="21" t="s">
        <v>37</v>
      </c>
      <c r="F8" s="23" t="s">
        <v>92</v>
      </c>
      <c r="G8" s="10">
        <f>G5*(K13+(C42/2))</f>
        <v>7.4999999999999997E-2</v>
      </c>
      <c r="H8" s="32" t="s">
        <v>37</v>
      </c>
      <c r="J8" s="17" t="s">
        <v>41</v>
      </c>
      <c r="K8" s="17" t="s">
        <v>42</v>
      </c>
      <c r="L8" s="17" t="s">
        <v>43</v>
      </c>
    </row>
    <row r="9" spans="2:12" x14ac:dyDescent="0.25">
      <c r="B9" s="22" t="s">
        <v>68</v>
      </c>
      <c r="C9" s="20">
        <v>5.0000000000000004E-6</v>
      </c>
      <c r="D9" s="21" t="s">
        <v>38</v>
      </c>
      <c r="J9" s="1" t="s">
        <v>17</v>
      </c>
      <c r="K9" s="2">
        <v>30</v>
      </c>
      <c r="L9" s="2" t="s">
        <v>37</v>
      </c>
    </row>
    <row r="10" spans="2:12" x14ac:dyDescent="0.25">
      <c r="B10" s="23" t="s">
        <v>5</v>
      </c>
      <c r="C10" s="31">
        <f>C8/(C9*50)</f>
        <v>300</v>
      </c>
      <c r="D10" s="32" t="s">
        <v>77</v>
      </c>
      <c r="F10" s="8" t="s">
        <v>45</v>
      </c>
      <c r="G10" s="9"/>
      <c r="H10" s="3"/>
      <c r="J10" s="1" t="s">
        <v>18</v>
      </c>
      <c r="K10" s="2">
        <v>52</v>
      </c>
      <c r="L10" s="2" t="s">
        <v>37</v>
      </c>
    </row>
    <row r="11" spans="2:12" x14ac:dyDescent="0.25">
      <c r="F11" s="4" t="s">
        <v>46</v>
      </c>
      <c r="G11" s="11">
        <v>0.9</v>
      </c>
      <c r="H11" s="5" t="s">
        <v>74</v>
      </c>
      <c r="J11" s="1" t="s">
        <v>3</v>
      </c>
      <c r="K11" s="2">
        <v>24</v>
      </c>
      <c r="L11" s="2" t="s">
        <v>37</v>
      </c>
    </row>
    <row r="12" spans="2:12" x14ac:dyDescent="0.25">
      <c r="B12" s="28" t="s">
        <v>11</v>
      </c>
      <c r="C12" s="29"/>
      <c r="D12" s="30"/>
      <c r="F12" s="22" t="s">
        <v>47</v>
      </c>
      <c r="G12" s="11">
        <v>0.3</v>
      </c>
      <c r="H12" s="5" t="s">
        <v>37</v>
      </c>
      <c r="J12" s="1" t="s">
        <v>35</v>
      </c>
      <c r="K12" s="2">
        <v>30</v>
      </c>
      <c r="L12" s="2" t="s">
        <v>38</v>
      </c>
    </row>
    <row r="13" spans="2:12" x14ac:dyDescent="0.25">
      <c r="B13" s="22" t="s">
        <v>71</v>
      </c>
      <c r="C13" s="26">
        <v>1.1999999999999999E-7</v>
      </c>
      <c r="D13" s="21" t="s">
        <v>70</v>
      </c>
      <c r="F13" s="6" t="s">
        <v>76</v>
      </c>
      <c r="G13" s="10">
        <f>(K12*C38*(1-C38))/(G11*G12*K17)</f>
        <v>5.4544097629770145E-5</v>
      </c>
      <c r="H13" s="7" t="s">
        <v>75</v>
      </c>
      <c r="J13" s="1" t="s">
        <v>36</v>
      </c>
      <c r="K13" s="2">
        <f>K12/2</f>
        <v>15</v>
      </c>
      <c r="L13" s="2" t="s">
        <v>38</v>
      </c>
    </row>
    <row r="14" spans="2:12" x14ac:dyDescent="0.25">
      <c r="B14" s="22" t="s">
        <v>72</v>
      </c>
      <c r="C14" s="26">
        <v>1.55E-7</v>
      </c>
      <c r="D14" s="21" t="s">
        <v>70</v>
      </c>
      <c r="J14" s="1" t="s">
        <v>31</v>
      </c>
      <c r="K14" s="2">
        <f>C38</f>
        <v>0.58536585365853655</v>
      </c>
      <c r="L14" s="2"/>
    </row>
    <row r="15" spans="2:12" x14ac:dyDescent="0.25">
      <c r="B15" s="22" t="s">
        <v>73</v>
      </c>
      <c r="C15" s="26">
        <f>K18</f>
        <v>750000</v>
      </c>
      <c r="D15" s="21" t="s">
        <v>40</v>
      </c>
      <c r="F15" s="8" t="s">
        <v>48</v>
      </c>
      <c r="G15" s="9"/>
      <c r="H15" s="3"/>
      <c r="J15" s="1" t="s">
        <v>6</v>
      </c>
      <c r="K15" s="2">
        <f>G43</f>
        <v>8.0999999999999996E-3</v>
      </c>
      <c r="L15" s="2" t="s">
        <v>39</v>
      </c>
    </row>
    <row r="16" spans="2:12" x14ac:dyDescent="0.25">
      <c r="B16" s="22" t="s">
        <v>29</v>
      </c>
      <c r="C16" s="34">
        <f>((K11+K12*(K15+C43))/(1-C15*C13))+(K12*K15*K16)</f>
        <v>26.789001267032969</v>
      </c>
      <c r="D16" s="21" t="s">
        <v>37</v>
      </c>
      <c r="F16" s="4" t="s">
        <v>50</v>
      </c>
      <c r="G16" s="11">
        <v>2.5000000000000001E-2</v>
      </c>
      <c r="H16" s="5" t="s">
        <v>37</v>
      </c>
      <c r="J16" s="1" t="s">
        <v>7</v>
      </c>
      <c r="K16" s="2">
        <f>G43</f>
        <v>8.0999999999999996E-3</v>
      </c>
      <c r="L16" s="2" t="s">
        <v>39</v>
      </c>
    </row>
    <row r="17" spans="2:12" x14ac:dyDescent="0.25">
      <c r="B17" s="23" t="s">
        <v>12</v>
      </c>
      <c r="C17" s="35">
        <f>K11/(K18*C14)</f>
        <v>206.45161290322582</v>
      </c>
      <c r="D17" s="32" t="s">
        <v>37</v>
      </c>
      <c r="F17" s="4" t="s">
        <v>51</v>
      </c>
      <c r="G17" s="11">
        <f>G16-G18</f>
        <v>1.2500000000000001E-2</v>
      </c>
      <c r="H17" s="5" t="s">
        <v>37</v>
      </c>
      <c r="J17" s="18" t="s">
        <v>10</v>
      </c>
      <c r="K17" s="2">
        <v>494427</v>
      </c>
      <c r="L17" s="2" t="s">
        <v>40</v>
      </c>
    </row>
    <row r="18" spans="2:12" x14ac:dyDescent="0.25">
      <c r="F18" s="4" t="s">
        <v>52</v>
      </c>
      <c r="G18" s="11">
        <f>G16*0.5</f>
        <v>1.2500000000000001E-2</v>
      </c>
      <c r="H18" s="5" t="s">
        <v>37</v>
      </c>
      <c r="J18" s="18" t="s">
        <v>9</v>
      </c>
      <c r="K18" s="2">
        <v>750000</v>
      </c>
      <c r="L18" s="2" t="s">
        <v>40</v>
      </c>
    </row>
    <row r="19" spans="2:12" x14ac:dyDescent="0.25">
      <c r="B19" s="8" t="s">
        <v>13</v>
      </c>
      <c r="C19" s="9"/>
      <c r="D19" s="3"/>
      <c r="F19" s="4" t="s">
        <v>53</v>
      </c>
      <c r="G19" s="13">
        <f>G17/C42</f>
        <v>2.67814625E-3</v>
      </c>
      <c r="H19" s="5" t="s">
        <v>55</v>
      </c>
    </row>
    <row r="20" spans="2:12" x14ac:dyDescent="0.25">
      <c r="B20" s="22" t="s">
        <v>20</v>
      </c>
      <c r="C20" s="20"/>
      <c r="D20" s="21"/>
      <c r="F20" s="6" t="s">
        <v>54</v>
      </c>
      <c r="G20" s="16">
        <f>C42/(8*K17*G18)</f>
        <v>9.4400336952138287E-5</v>
      </c>
      <c r="H20" s="7" t="s">
        <v>8</v>
      </c>
    </row>
    <row r="21" spans="2:12" x14ac:dyDescent="0.25">
      <c r="B21" s="22" t="s">
        <v>16</v>
      </c>
      <c r="C21" s="20">
        <v>25</v>
      </c>
      <c r="D21" s="21" t="s">
        <v>37</v>
      </c>
    </row>
    <row r="22" spans="2:12" x14ac:dyDescent="0.25">
      <c r="B22" s="22" t="s">
        <v>14</v>
      </c>
      <c r="C22" s="20">
        <f>(C21-1.25)/1.25*C23</f>
        <v>190000</v>
      </c>
      <c r="D22" s="21" t="s">
        <v>39</v>
      </c>
      <c r="F22" s="8" t="s">
        <v>78</v>
      </c>
      <c r="G22" s="9"/>
      <c r="H22" s="3"/>
    </row>
    <row r="23" spans="2:12" x14ac:dyDescent="0.25">
      <c r="B23" s="23" t="s">
        <v>15</v>
      </c>
      <c r="C23" s="31">
        <v>10000</v>
      </c>
      <c r="D23" s="32" t="s">
        <v>39</v>
      </c>
      <c r="F23" s="4" t="s">
        <v>81</v>
      </c>
      <c r="G23" s="11">
        <f>K17/15</f>
        <v>32961.800000000003</v>
      </c>
      <c r="H23" s="5" t="s">
        <v>40</v>
      </c>
    </row>
    <row r="24" spans="2:12" x14ac:dyDescent="0.25">
      <c r="F24" s="4" t="s">
        <v>54</v>
      </c>
      <c r="G24" s="11">
        <f>G20</f>
        <v>9.4400336952138287E-5</v>
      </c>
      <c r="H24" s="5" t="s">
        <v>8</v>
      </c>
    </row>
    <row r="25" spans="2:12" x14ac:dyDescent="0.25">
      <c r="B25" s="8" t="s">
        <v>19</v>
      </c>
      <c r="C25" s="9"/>
      <c r="D25" s="3"/>
      <c r="F25" s="4" t="s">
        <v>80</v>
      </c>
      <c r="G25" s="11">
        <v>13.3</v>
      </c>
      <c r="H25" s="5" t="s">
        <v>88</v>
      </c>
    </row>
    <row r="26" spans="2:12" x14ac:dyDescent="0.25">
      <c r="B26" s="4" t="s">
        <v>21</v>
      </c>
      <c r="C26" s="11"/>
      <c r="D26" s="5"/>
      <c r="F26" s="4" t="s">
        <v>4</v>
      </c>
      <c r="G26" s="11">
        <v>5.0000000000000001E-3</v>
      </c>
      <c r="H26" s="5" t="s">
        <v>39</v>
      </c>
    </row>
    <row r="27" spans="2:12" x14ac:dyDescent="0.25">
      <c r="B27" s="4" t="s">
        <v>22</v>
      </c>
      <c r="C27" s="11">
        <f>0.001*K11</f>
        <v>2.4E-2</v>
      </c>
      <c r="D27" s="5"/>
      <c r="F27" s="4" t="s">
        <v>84</v>
      </c>
      <c r="G27" s="11">
        <v>2E-3</v>
      </c>
      <c r="H27" s="5" t="s">
        <v>89</v>
      </c>
    </row>
    <row r="28" spans="2:12" x14ac:dyDescent="0.25">
      <c r="B28" s="4" t="s">
        <v>23</v>
      </c>
      <c r="C28" s="13">
        <v>9.9999999999999995E-8</v>
      </c>
      <c r="D28" s="5" t="s">
        <v>38</v>
      </c>
      <c r="F28" s="4" t="s">
        <v>79</v>
      </c>
      <c r="G28" s="11">
        <f>0.8/K11</f>
        <v>3.3333333333333333E-2</v>
      </c>
      <c r="H28" s="5" t="s">
        <v>88</v>
      </c>
    </row>
    <row r="29" spans="2:12" x14ac:dyDescent="0.25">
      <c r="B29" s="4" t="s">
        <v>24</v>
      </c>
      <c r="C29" s="12">
        <f>C27/C28</f>
        <v>240000.00000000003</v>
      </c>
      <c r="D29" s="5" t="s">
        <v>39</v>
      </c>
      <c r="F29" s="4" t="s">
        <v>83</v>
      </c>
      <c r="G29" s="11">
        <f>(2*PI()*G23*G24*G25*G26)/(G27*G28)</f>
        <v>19501.914007097377</v>
      </c>
      <c r="H29" s="5" t="s">
        <v>39</v>
      </c>
    </row>
    <row r="30" spans="2:12" x14ac:dyDescent="0.25">
      <c r="B30" s="4" t="s">
        <v>14</v>
      </c>
      <c r="C30" s="11">
        <v>187000</v>
      </c>
      <c r="D30" s="5" t="s">
        <v>39</v>
      </c>
      <c r="F30" s="4" t="s">
        <v>82</v>
      </c>
      <c r="G30" s="11">
        <f>1/(2*PI()*G24*(K11/K13))</f>
        <v>1053.723351462904</v>
      </c>
      <c r="H30" s="5" t="s">
        <v>40</v>
      </c>
    </row>
    <row r="31" spans="2:12" x14ac:dyDescent="0.25">
      <c r="B31" s="6" t="s">
        <v>15</v>
      </c>
      <c r="C31" s="10">
        <f>C30/((K11/0.8)-1)</f>
        <v>6448.2758620689656</v>
      </c>
      <c r="D31" s="7" t="s">
        <v>39</v>
      </c>
      <c r="F31" s="4" t="s">
        <v>85</v>
      </c>
      <c r="G31" s="11">
        <f>1/(2*PI()*G30*G29)</f>
        <v>7.7449084776218741E-9</v>
      </c>
      <c r="H31" s="5" t="s">
        <v>8</v>
      </c>
    </row>
    <row r="32" spans="2:12" x14ac:dyDescent="0.25">
      <c r="F32" s="4" t="s">
        <v>87</v>
      </c>
      <c r="G32" s="11">
        <f>K17/2</f>
        <v>247213.5</v>
      </c>
      <c r="H32" s="5" t="s">
        <v>40</v>
      </c>
      <c r="I32" s="11"/>
      <c r="J32" s="11"/>
      <c r="K32" s="11"/>
    </row>
    <row r="33" spans="2:14" x14ac:dyDescent="0.25">
      <c r="B33" s="28" t="s">
        <v>25</v>
      </c>
      <c r="C33" s="29"/>
      <c r="D33" s="30"/>
      <c r="F33" s="6" t="s">
        <v>86</v>
      </c>
      <c r="G33" s="10">
        <f>1/(2*PI()*G29*G32)</f>
        <v>3.3011914469934609E-11</v>
      </c>
      <c r="H33" s="7" t="s">
        <v>8</v>
      </c>
      <c r="I33" s="20"/>
      <c r="J33" s="20"/>
      <c r="K33" s="20"/>
      <c r="L33" s="25"/>
      <c r="M33" s="26"/>
      <c r="N33" s="20"/>
    </row>
    <row r="34" spans="2:14" x14ac:dyDescent="0.25">
      <c r="B34" s="22" t="s">
        <v>26</v>
      </c>
      <c r="C34" s="20">
        <v>1E-3</v>
      </c>
      <c r="D34" s="21" t="s">
        <v>70</v>
      </c>
      <c r="I34" s="25"/>
      <c r="J34" s="26"/>
      <c r="K34" s="20"/>
      <c r="L34" s="25"/>
      <c r="M34" s="26"/>
      <c r="N34" s="20"/>
    </row>
    <row r="35" spans="2:14" x14ac:dyDescent="0.25">
      <c r="B35" s="23" t="s">
        <v>27</v>
      </c>
      <c r="C35" s="31">
        <f>C34*5/0.8</f>
        <v>6.2499999999999995E-3</v>
      </c>
      <c r="D35" s="32" t="s">
        <v>28</v>
      </c>
      <c r="I35" s="25"/>
      <c r="J35" s="26"/>
      <c r="K35" s="20"/>
      <c r="L35" s="25"/>
      <c r="M35" s="20"/>
      <c r="N35" s="20"/>
    </row>
    <row r="36" spans="2:14" x14ac:dyDescent="0.25">
      <c r="F36" s="8" t="s">
        <v>56</v>
      </c>
      <c r="G36" s="9"/>
      <c r="H36" s="3"/>
      <c r="I36" s="25"/>
      <c r="J36" s="20"/>
      <c r="K36" s="20"/>
      <c r="L36" s="25"/>
      <c r="M36" s="26"/>
      <c r="N36" s="20"/>
    </row>
    <row r="37" spans="2:14" x14ac:dyDescent="0.25">
      <c r="B37" s="28" t="s">
        <v>30</v>
      </c>
      <c r="C37" s="29" t="s">
        <v>96</v>
      </c>
      <c r="D37" s="30"/>
      <c r="F37" s="14" t="s">
        <v>58</v>
      </c>
      <c r="G37" s="13">
        <f>G46</f>
        <v>1.08E-7</v>
      </c>
      <c r="H37" s="5" t="s">
        <v>75</v>
      </c>
      <c r="I37" s="25"/>
      <c r="J37" s="26"/>
      <c r="K37" s="20"/>
      <c r="L37" s="20"/>
      <c r="M37" s="20"/>
      <c r="N37" s="20"/>
    </row>
    <row r="38" spans="2:14" x14ac:dyDescent="0.25">
      <c r="B38" s="22" t="s">
        <v>31</v>
      </c>
      <c r="C38" s="20">
        <f>K11/((K9+K10)/2)</f>
        <v>0.58536585365853655</v>
      </c>
      <c r="D38" s="21"/>
      <c r="F38" s="19" t="s">
        <v>57</v>
      </c>
      <c r="G38" s="11">
        <v>0.125</v>
      </c>
      <c r="H38" s="5" t="s">
        <v>37</v>
      </c>
      <c r="I38" s="20"/>
      <c r="J38" s="20"/>
      <c r="K38" s="20"/>
      <c r="L38" s="20"/>
      <c r="M38" s="20"/>
      <c r="N38" s="20"/>
    </row>
    <row r="39" spans="2:14" x14ac:dyDescent="0.25">
      <c r="B39" s="22" t="s">
        <v>32</v>
      </c>
      <c r="C39" s="20">
        <v>0.24</v>
      </c>
      <c r="D39" s="21"/>
      <c r="F39" s="24" t="s">
        <v>59</v>
      </c>
      <c r="G39" s="11"/>
      <c r="H39" s="5"/>
      <c r="J39" s="27"/>
      <c r="K39" s="27"/>
      <c r="L39" s="27"/>
      <c r="M39" s="27"/>
      <c r="N39" s="27"/>
    </row>
    <row r="40" spans="2:14" x14ac:dyDescent="0.25">
      <c r="B40" s="22" t="s">
        <v>33</v>
      </c>
      <c r="C40" s="20">
        <f>(K11*(1-C38))/(C39*K13*K17)</f>
        <v>5.5907700070514429E-6</v>
      </c>
      <c r="D40" s="21" t="s">
        <v>34</v>
      </c>
      <c r="F40" s="15" t="s">
        <v>60</v>
      </c>
      <c r="G40" s="16">
        <f>G37/G38</f>
        <v>8.6400000000000001E-7</v>
      </c>
      <c r="H40" s="7" t="s">
        <v>8</v>
      </c>
      <c r="K40" s="27"/>
      <c r="L40" s="27"/>
      <c r="M40" s="27"/>
      <c r="N40" s="27"/>
    </row>
    <row r="41" spans="2:14" x14ac:dyDescent="0.25">
      <c r="B41" s="22" t="s">
        <v>93</v>
      </c>
      <c r="C41" s="13">
        <v>5.5999999999999997E-6</v>
      </c>
      <c r="D41" s="5" t="s">
        <v>34</v>
      </c>
    </row>
    <row r="42" spans="2:14" x14ac:dyDescent="0.25">
      <c r="B42" s="33" t="s">
        <v>49</v>
      </c>
      <c r="C42" s="26">
        <f>(K11*(1-K11/K10))/(C41*K17)</f>
        <v>4.667407539823488</v>
      </c>
      <c r="D42" s="21" t="s">
        <v>38</v>
      </c>
      <c r="F42" s="8" t="s">
        <v>61</v>
      </c>
      <c r="G42" s="29" t="s">
        <v>98</v>
      </c>
      <c r="H42" s="3"/>
    </row>
    <row r="43" spans="2:14" x14ac:dyDescent="0.25">
      <c r="B43" s="22" t="s">
        <v>69</v>
      </c>
      <c r="C43" s="20">
        <v>4.4400000000000004E-3</v>
      </c>
      <c r="D43" s="21" t="s">
        <v>39</v>
      </c>
      <c r="F43" s="4" t="s">
        <v>62</v>
      </c>
      <c r="G43" s="11">
        <v>8.0999999999999996E-3</v>
      </c>
      <c r="H43" s="5" t="s">
        <v>39</v>
      </c>
    </row>
    <row r="44" spans="2:14" x14ac:dyDescent="0.25">
      <c r="B44" s="22" t="s">
        <v>94</v>
      </c>
      <c r="C44" s="13">
        <f>K13+C42</f>
        <v>19.667407539823486</v>
      </c>
      <c r="D44" s="21" t="s">
        <v>38</v>
      </c>
      <c r="F44" s="4" t="s">
        <v>63</v>
      </c>
      <c r="G44" s="11">
        <v>100</v>
      </c>
      <c r="H44" s="5" t="s">
        <v>37</v>
      </c>
    </row>
    <row r="45" spans="2:14" x14ac:dyDescent="0.25">
      <c r="F45" s="4" t="s">
        <v>64</v>
      </c>
      <c r="G45" s="11">
        <v>4.8</v>
      </c>
      <c r="H45" s="5" t="s">
        <v>37</v>
      </c>
    </row>
    <row r="46" spans="2:14" x14ac:dyDescent="0.25">
      <c r="B46" s="23" t="s">
        <v>95</v>
      </c>
      <c r="C46" s="10">
        <v>21</v>
      </c>
      <c r="D46" s="32" t="s">
        <v>38</v>
      </c>
      <c r="F46" s="4" t="s">
        <v>65</v>
      </c>
      <c r="G46" s="13">
        <v>1.08E-7</v>
      </c>
      <c r="H46" s="5" t="s">
        <v>75</v>
      </c>
    </row>
    <row r="47" spans="2:14" x14ac:dyDescent="0.25">
      <c r="F47" s="4" t="s">
        <v>66</v>
      </c>
      <c r="G47" s="20">
        <v>263</v>
      </c>
      <c r="H47" s="21" t="s">
        <v>97</v>
      </c>
    </row>
    <row r="48" spans="2:14" x14ac:dyDescent="0.25">
      <c r="F48" s="23" t="s">
        <v>99</v>
      </c>
      <c r="G48" s="31">
        <v>100</v>
      </c>
      <c r="H48" s="32" t="s">
        <v>100</v>
      </c>
    </row>
    <row r="49" spans="5:9" x14ac:dyDescent="0.25">
      <c r="E49" s="20"/>
      <c r="F49" s="20"/>
      <c r="G49" s="20"/>
      <c r="H49" s="20"/>
      <c r="I49" s="11"/>
    </row>
    <row r="50" spans="5:9" x14ac:dyDescent="0.25">
      <c r="E50" s="20"/>
      <c r="F50" s="20"/>
      <c r="G50" s="26"/>
      <c r="H50" s="20"/>
      <c r="I50" s="11"/>
    </row>
    <row r="51" spans="5:9" x14ac:dyDescent="0.25">
      <c r="E51" s="20"/>
      <c r="F51" s="20"/>
      <c r="G51" s="20"/>
      <c r="H51" s="20"/>
      <c r="I51" s="11"/>
    </row>
    <row r="52" spans="5:9" x14ac:dyDescent="0.25">
      <c r="E52" s="20"/>
      <c r="F52" s="20"/>
      <c r="G52" s="26"/>
      <c r="H52" s="20"/>
      <c r="I52" s="11"/>
    </row>
    <row r="53" spans="5:9" x14ac:dyDescent="0.25">
      <c r="E53" s="11"/>
      <c r="F53" s="20"/>
      <c r="G53" s="13"/>
      <c r="H53" s="20"/>
      <c r="I53" s="11"/>
    </row>
    <row r="54" spans="5:9" x14ac:dyDescent="0.25">
      <c r="E54" s="11"/>
      <c r="F54" s="20"/>
      <c r="G54" s="13"/>
      <c r="H54" s="11"/>
      <c r="I54" s="11"/>
    </row>
    <row r="55" spans="5:9" x14ac:dyDescent="0.25">
      <c r="E55" s="11"/>
      <c r="F55" s="20"/>
      <c r="G55" s="13"/>
      <c r="H55" s="11"/>
      <c r="I55" s="11"/>
    </row>
    <row r="56" spans="5:9" x14ac:dyDescent="0.25">
      <c r="E56" s="11"/>
      <c r="F56" s="11"/>
      <c r="G56" s="11"/>
      <c r="H56" s="11"/>
      <c r="I56" s="11"/>
    </row>
    <row r="57" spans="5:9" x14ac:dyDescent="0.25">
      <c r="E57" s="11"/>
      <c r="F57" s="11"/>
      <c r="G57" s="11"/>
      <c r="H57" s="11"/>
      <c r="I57" s="1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0701CC1EC74147A72BE8B0F5A26E20" ma:contentTypeVersion="13" ma:contentTypeDescription="Create a new document." ma:contentTypeScope="" ma:versionID="8ebf6d53d956cdef79e68be1560f9d67">
  <xsd:schema xmlns:xsd="http://www.w3.org/2001/XMLSchema" xmlns:xs="http://www.w3.org/2001/XMLSchema" xmlns:p="http://schemas.microsoft.com/office/2006/metadata/properties" xmlns:ns3="c2c0239c-8015-4a2b-9cb8-188eddb0c3b1" xmlns:ns4="dc17db58-7173-4b97-a5e0-4fde46d4419d" targetNamespace="http://schemas.microsoft.com/office/2006/metadata/properties" ma:root="true" ma:fieldsID="a1bf8ba571720aa4c397864da6a353f6" ns3:_="" ns4:_="">
    <xsd:import namespace="c2c0239c-8015-4a2b-9cb8-188eddb0c3b1"/>
    <xsd:import namespace="dc17db58-7173-4b97-a5e0-4fde46d4419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c0239c-8015-4a2b-9cb8-188eddb0c3b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17db58-7173-4b97-a5e0-4fde46d441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F9EA761-7028-46DB-8CB4-D9CDAA89DD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c0239c-8015-4a2b-9cb8-188eddb0c3b1"/>
    <ds:schemaRef ds:uri="dc17db58-7173-4b97-a5e0-4fde46d441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004C31E-2F17-41F7-960F-5BE2F964BB2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625227-AAC1-4055-9ED3-B806F9ACE344}">
  <ds:schemaRefs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dc17db58-7173-4b97-a5e0-4fde46d4419d"/>
    <ds:schemaRef ds:uri="c2c0239c-8015-4a2b-9cb8-188eddb0c3b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</dc:creator>
  <cp:lastModifiedBy>Logan Hartford</cp:lastModifiedBy>
  <dcterms:created xsi:type="dcterms:W3CDTF">2021-10-11T12:57:44Z</dcterms:created>
  <dcterms:modified xsi:type="dcterms:W3CDTF">2021-11-07T13:21:47Z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0x0101009A0701CC1EC74147A72BE8B0F5A26E20</vt:lpwstr>
  </property>
</Properties>
</file>