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Projects\DropletJumpWedge\DropletJumpWedge\Repos_OldStuff\PreliminaryData_APSData\old\"/>
    </mc:Choice>
  </mc:AlternateContent>
  <bookViews>
    <workbookView xWindow="0" yWindow="0" windowWidth="27885" windowHeight="6690" firstSheet="2" activeTab="2"/>
  </bookViews>
  <sheets>
    <sheet name="Chart2" sheetId="11" state="hidden" r:id="rId1"/>
    <sheet name="Chart1" sheetId="12" state="hidden" r:id="rId2"/>
    <sheet name="Sheet1" sheetId="1" r:id="rId3"/>
    <sheet name="Drop_06264 " sheetId="2" r:id="rId4"/>
    <sheet name="Drop_06286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1" l="1"/>
  <c r="N16" i="1"/>
  <c r="AE6" i="1"/>
  <c r="AE7" i="1"/>
  <c r="AE8" i="1"/>
  <c r="AE9" i="1"/>
  <c r="AE10" i="1"/>
  <c r="AE11" i="1"/>
  <c r="AE12" i="1"/>
  <c r="AE13" i="1"/>
  <c r="AE14" i="1"/>
  <c r="AE5" i="1"/>
  <c r="N6" i="1"/>
  <c r="N7" i="1"/>
  <c r="N8" i="1"/>
  <c r="N9" i="1"/>
  <c r="N10" i="1"/>
  <c r="N11" i="1"/>
  <c r="N12" i="1"/>
  <c r="N13" i="1"/>
  <c r="N14" i="1"/>
  <c r="N5" i="1"/>
  <c r="AC16" i="1" l="1"/>
  <c r="L16" i="1"/>
  <c r="AD15" i="1"/>
  <c r="AC15" i="1"/>
  <c r="M15" i="1"/>
  <c r="L15" i="1"/>
  <c r="BG14" i="1" l="1"/>
  <c r="BD14" i="1"/>
  <c r="BF14" i="1" s="1"/>
  <c r="BC14" i="1"/>
  <c r="AZ14" i="1"/>
  <c r="BA14" i="1" s="1"/>
  <c r="BG13" i="1"/>
  <c r="BD13" i="1"/>
  <c r="BF13" i="1" s="1"/>
  <c r="BC13" i="1"/>
  <c r="AZ13" i="1"/>
  <c r="BA13" i="1" s="1"/>
  <c r="BG12" i="1"/>
  <c r="BD12" i="1"/>
  <c r="BF12" i="1" s="1"/>
  <c r="BC12" i="1"/>
  <c r="AZ12" i="1"/>
  <c r="BA12" i="1" s="1"/>
  <c r="BG11" i="1"/>
  <c r="BD11" i="1"/>
  <c r="BC11" i="1"/>
  <c r="AZ11" i="1"/>
  <c r="BA11" i="1" s="1"/>
  <c r="BG10" i="1"/>
  <c r="BD10" i="1"/>
  <c r="BC10" i="1"/>
  <c r="AZ10" i="1"/>
  <c r="BA10" i="1" s="1"/>
  <c r="BG9" i="1"/>
  <c r="BD9" i="1"/>
  <c r="BF9" i="1" s="1"/>
  <c r="BC9" i="1"/>
  <c r="AZ9" i="1"/>
  <c r="BA9" i="1" s="1"/>
  <c r="BG8" i="1"/>
  <c r="BD8" i="1"/>
  <c r="BF8" i="1" s="1"/>
  <c r="BC8" i="1"/>
  <c r="AZ8" i="1"/>
  <c r="BA8" i="1" s="1"/>
  <c r="BG7" i="1"/>
  <c r="BD7" i="1"/>
  <c r="BC7" i="1"/>
  <c r="AZ7" i="1"/>
  <c r="BA7" i="1" s="1"/>
  <c r="BG6" i="1"/>
  <c r="BD6" i="1"/>
  <c r="BF6" i="1" s="1"/>
  <c r="BC6" i="1"/>
  <c r="AZ6" i="1"/>
  <c r="BA6" i="1" s="1"/>
  <c r="BG5" i="1"/>
  <c r="BD5" i="1"/>
  <c r="BF5" i="1" s="1"/>
  <c r="BC5" i="1"/>
  <c r="AZ5" i="1"/>
  <c r="BA5" i="1" s="1"/>
  <c r="AZ1" i="1"/>
  <c r="AR14" i="1"/>
  <c r="AO14" i="1"/>
  <c r="AQ14" i="1" s="1"/>
  <c r="AN14" i="1"/>
  <c r="AK14" i="1"/>
  <c r="AL14" i="1" s="1"/>
  <c r="AR13" i="1"/>
  <c r="AO13" i="1"/>
  <c r="AQ13" i="1" s="1"/>
  <c r="AN13" i="1"/>
  <c r="AK13" i="1"/>
  <c r="AL13" i="1" s="1"/>
  <c r="AR12" i="1"/>
  <c r="AO12" i="1"/>
  <c r="AN12" i="1"/>
  <c r="AL12" i="1"/>
  <c r="AR11" i="1"/>
  <c r="AO11" i="1"/>
  <c r="AN11" i="1"/>
  <c r="AK11" i="1"/>
  <c r="AL11" i="1" s="1"/>
  <c r="AO10" i="1"/>
  <c r="AS10" i="1" s="1"/>
  <c r="AN10" i="1"/>
  <c r="AK10" i="1"/>
  <c r="AL10" i="1" s="1"/>
  <c r="AR9" i="1"/>
  <c r="AO9" i="1"/>
  <c r="AQ9" i="1" s="1"/>
  <c r="AN9" i="1"/>
  <c r="AK9" i="1"/>
  <c r="AL9" i="1" s="1"/>
  <c r="AR8" i="1"/>
  <c r="AO8" i="1"/>
  <c r="AQ8" i="1" s="1"/>
  <c r="AN8" i="1"/>
  <c r="AK8" i="1"/>
  <c r="AL8" i="1" s="1"/>
  <c r="AR7" i="1"/>
  <c r="AO7" i="1"/>
  <c r="AN7" i="1"/>
  <c r="AK7" i="1"/>
  <c r="AL7" i="1" s="1"/>
  <c r="AR6" i="1"/>
  <c r="AO6" i="1"/>
  <c r="AN6" i="1"/>
  <c r="AK6" i="1"/>
  <c r="AL6" i="1" s="1"/>
  <c r="AR5" i="1"/>
  <c r="AO5" i="1"/>
  <c r="AN5" i="1"/>
  <c r="AK5" i="1"/>
  <c r="AL5" i="1" s="1"/>
  <c r="AK1" i="1"/>
  <c r="AU9" i="1" l="1"/>
  <c r="AT10" i="1"/>
  <c r="BJ6" i="1"/>
  <c r="BJ8" i="1"/>
  <c r="BJ12" i="1"/>
  <c r="BJ14" i="1"/>
  <c r="AU13" i="1"/>
  <c r="BJ5" i="1"/>
  <c r="BJ9" i="1"/>
  <c r="BJ13" i="1"/>
  <c r="AU8" i="1"/>
  <c r="AU14" i="1"/>
  <c r="BH7" i="1"/>
  <c r="BI7" i="1" s="1"/>
  <c r="BH11" i="1"/>
  <c r="BI11" i="1" s="1"/>
  <c r="AS5" i="1"/>
  <c r="AT5" i="1" s="1"/>
  <c r="AS7" i="1"/>
  <c r="AT7" i="1" s="1"/>
  <c r="AS11" i="1"/>
  <c r="AT11" i="1" s="1"/>
  <c r="AS14" i="1"/>
  <c r="AT14" i="1" s="1"/>
  <c r="BH14" i="1"/>
  <c r="BI14" i="1" s="1"/>
  <c r="AS6" i="1"/>
  <c r="AT6" i="1" s="1"/>
  <c r="BH10" i="1"/>
  <c r="BI10" i="1" s="1"/>
  <c r="BH6" i="1"/>
  <c r="BI6" i="1" s="1"/>
  <c r="BH13" i="1"/>
  <c r="BI13" i="1" s="1"/>
  <c r="AS12" i="1"/>
  <c r="AT12" i="1" s="1"/>
  <c r="AS9" i="1"/>
  <c r="AT9" i="1" s="1"/>
  <c r="AV9" i="1" s="1"/>
  <c r="BH5" i="1"/>
  <c r="BI5" i="1" s="1"/>
  <c r="BH12" i="1"/>
  <c r="BI12" i="1" s="1"/>
  <c r="AS8" i="1"/>
  <c r="AT8" i="1" s="1"/>
  <c r="BF10" i="1"/>
  <c r="BJ10" i="1" s="1"/>
  <c r="BF7" i="1"/>
  <c r="BJ7" i="1" s="1"/>
  <c r="BH9" i="1"/>
  <c r="BI9" i="1" s="1"/>
  <c r="BH8" i="1"/>
  <c r="BI8" i="1" s="1"/>
  <c r="BF11" i="1"/>
  <c r="BJ11" i="1" s="1"/>
  <c r="AQ7" i="1"/>
  <c r="AU7" i="1" s="1"/>
  <c r="AQ6" i="1"/>
  <c r="AU6" i="1" s="1"/>
  <c r="AQ12" i="1"/>
  <c r="AU12" i="1" s="1"/>
  <c r="AQ5" i="1"/>
  <c r="AU5" i="1" s="1"/>
  <c r="AS13" i="1"/>
  <c r="AT13" i="1" s="1"/>
  <c r="AQ11" i="1"/>
  <c r="AU11" i="1" s="1"/>
  <c r="AQ10" i="1"/>
  <c r="AU10" i="1" s="1"/>
  <c r="AV10" i="1" l="1"/>
  <c r="BK6" i="1"/>
  <c r="BK14" i="1"/>
  <c r="BK8" i="1"/>
  <c r="BK12" i="1"/>
  <c r="AV14" i="1"/>
  <c r="BK9" i="1"/>
  <c r="AV5" i="1"/>
  <c r="AV13" i="1"/>
  <c r="BK13" i="1"/>
  <c r="AV8" i="1"/>
  <c r="AV6" i="1"/>
  <c r="BK7" i="1"/>
  <c r="BK5" i="1"/>
  <c r="BK11" i="1"/>
  <c r="AV12" i="1"/>
  <c r="AV11" i="1"/>
  <c r="BK10" i="1"/>
  <c r="AV7" i="1"/>
  <c r="U2" i="1"/>
  <c r="X11" i="1" s="1"/>
  <c r="AB11" i="1" s="1"/>
  <c r="S2" i="1"/>
  <c r="S14" i="1"/>
  <c r="W14" i="1" s="1"/>
  <c r="S13" i="1"/>
  <c r="W13" i="1" s="1"/>
  <c r="S12" i="1"/>
  <c r="U12" i="1" s="1"/>
  <c r="S11" i="1"/>
  <c r="W11" i="1" s="1"/>
  <c r="S10" i="1"/>
  <c r="W10" i="1" s="1"/>
  <c r="S9" i="1"/>
  <c r="W9" i="1" s="1"/>
  <c r="S8" i="1"/>
  <c r="W8" i="1" s="1"/>
  <c r="S7" i="1"/>
  <c r="W7" i="1" s="1"/>
  <c r="S6" i="1"/>
  <c r="W6" i="1" s="1"/>
  <c r="S5" i="1"/>
  <c r="W5" i="1" s="1"/>
  <c r="J5" i="1"/>
  <c r="C6" i="1"/>
  <c r="C5" i="1"/>
  <c r="E6" i="1"/>
  <c r="E5" i="1"/>
  <c r="H6" i="1"/>
  <c r="B6" i="1"/>
  <c r="B7" i="1"/>
  <c r="F7" i="1" s="1"/>
  <c r="B8" i="1"/>
  <c r="D8" i="1" s="1"/>
  <c r="B9" i="1"/>
  <c r="F9" i="1" s="1"/>
  <c r="B10" i="1"/>
  <c r="F10" i="1" s="1"/>
  <c r="B11" i="1"/>
  <c r="F11" i="1" s="1"/>
  <c r="B12" i="1"/>
  <c r="D12" i="1" s="1"/>
  <c r="B13" i="1"/>
  <c r="F13" i="1" s="1"/>
  <c r="B14" i="1"/>
  <c r="F14" i="1" s="1"/>
  <c r="B5" i="1"/>
  <c r="D2" i="1"/>
  <c r="E2" i="1" s="1"/>
  <c r="B2" i="1"/>
  <c r="X10" i="1" l="1"/>
  <c r="AB10" i="1" s="1"/>
  <c r="AC10" i="1" s="1"/>
  <c r="X5" i="1"/>
  <c r="Z5" i="1" s="1"/>
  <c r="X6" i="1"/>
  <c r="AB6" i="1" s="1"/>
  <c r="AC6" i="1" s="1"/>
  <c r="X14" i="1"/>
  <c r="AB14" i="1" s="1"/>
  <c r="AC14" i="1" s="1"/>
  <c r="X12" i="1"/>
  <c r="AB12" i="1" s="1"/>
  <c r="X8" i="1"/>
  <c r="AB8" i="1" s="1"/>
  <c r="AC8" i="1" s="1"/>
  <c r="G14" i="1"/>
  <c r="K14" i="1" s="1"/>
  <c r="L14" i="1" s="1"/>
  <c r="V2" i="1"/>
  <c r="X13" i="1"/>
  <c r="Z13" i="1" s="1"/>
  <c r="G9" i="1"/>
  <c r="K9" i="1" s="1"/>
  <c r="L9" i="1" s="1"/>
  <c r="X9" i="1"/>
  <c r="AB9" i="1" s="1"/>
  <c r="AC9" i="1" s="1"/>
  <c r="W12" i="1"/>
  <c r="AC11" i="1"/>
  <c r="X7" i="1"/>
  <c r="AB7" i="1" s="1"/>
  <c r="AC7" i="1" s="1"/>
  <c r="U10" i="1"/>
  <c r="U5" i="1"/>
  <c r="U8" i="1"/>
  <c r="U14" i="1"/>
  <c r="U11" i="1"/>
  <c r="U7" i="1"/>
  <c r="U9" i="1"/>
  <c r="U13" i="1"/>
  <c r="U6" i="1"/>
  <c r="Z11" i="1"/>
  <c r="G6" i="1"/>
  <c r="K6" i="1" s="1"/>
  <c r="F5" i="1"/>
  <c r="G13" i="1"/>
  <c r="I13" i="1" s="1"/>
  <c r="G11" i="1"/>
  <c r="K11" i="1" s="1"/>
  <c r="L11" i="1" s="1"/>
  <c r="G8" i="1"/>
  <c r="K8" i="1" s="1"/>
  <c r="G5" i="1"/>
  <c r="I5" i="1" s="1"/>
  <c r="G7" i="1"/>
  <c r="K7" i="1" s="1"/>
  <c r="L7" i="1" s="1"/>
  <c r="F6" i="1"/>
  <c r="D6" i="1"/>
  <c r="D11" i="1"/>
  <c r="D10" i="1"/>
  <c r="D9" i="1"/>
  <c r="F8" i="1"/>
  <c r="L8" i="1" s="1"/>
  <c r="F12" i="1"/>
  <c r="D7" i="1"/>
  <c r="G12" i="1"/>
  <c r="D14" i="1"/>
  <c r="D5" i="1"/>
  <c r="D13" i="1"/>
  <c r="G10" i="1"/>
  <c r="AB5" i="1" l="1"/>
  <c r="AC5" i="1" s="1"/>
  <c r="Z8" i="1"/>
  <c r="AD8" i="1" s="1"/>
  <c r="AF8" i="1" s="1"/>
  <c r="AG8" i="1" s="1"/>
  <c r="I14" i="1"/>
  <c r="M14" i="1" s="1"/>
  <c r="O14" i="1" s="1"/>
  <c r="P14" i="1" s="1"/>
  <c r="Z10" i="1"/>
  <c r="AD10" i="1" s="1"/>
  <c r="AF10" i="1" s="1"/>
  <c r="AG10" i="1" s="1"/>
  <c r="Z14" i="1"/>
  <c r="AD14" i="1" s="1"/>
  <c r="AF14" i="1" s="1"/>
  <c r="AG14" i="1" s="1"/>
  <c r="AD5" i="1"/>
  <c r="AC12" i="1"/>
  <c r="Z6" i="1"/>
  <c r="AD6" i="1" s="1"/>
  <c r="AF6" i="1" s="1"/>
  <c r="AG6" i="1" s="1"/>
  <c r="L6" i="1"/>
  <c r="I9" i="1"/>
  <c r="M9" i="1" s="1"/>
  <c r="O9" i="1" s="1"/>
  <c r="P9" i="1" s="1"/>
  <c r="Z12" i="1"/>
  <c r="AD12" i="1" s="1"/>
  <c r="AD13" i="1"/>
  <c r="AB13" i="1"/>
  <c r="AC13" i="1" s="1"/>
  <c r="Z9" i="1"/>
  <c r="AD9" i="1" s="1"/>
  <c r="AF9" i="1" s="1"/>
  <c r="AG9" i="1" s="1"/>
  <c r="Z7" i="1"/>
  <c r="AD7" i="1" s="1"/>
  <c r="AF7" i="1" s="1"/>
  <c r="AG7" i="1" s="1"/>
  <c r="AD11" i="1"/>
  <c r="AF11" i="1" s="1"/>
  <c r="AG11" i="1" s="1"/>
  <c r="I7" i="1"/>
  <c r="M7" i="1" s="1"/>
  <c r="O7" i="1" s="1"/>
  <c r="P7" i="1" s="1"/>
  <c r="I6" i="1"/>
  <c r="M6" i="1" s="1"/>
  <c r="I11" i="1"/>
  <c r="M11" i="1" s="1"/>
  <c r="O11" i="1" s="1"/>
  <c r="P11" i="1" s="1"/>
  <c r="M13" i="1"/>
  <c r="M5" i="1"/>
  <c r="K5" i="1"/>
  <c r="L5" i="1" s="1"/>
  <c r="O5" i="1" s="1"/>
  <c r="I8" i="1"/>
  <c r="M8" i="1" s="1"/>
  <c r="O8" i="1" s="1"/>
  <c r="P8" i="1" s="1"/>
  <c r="K13" i="1"/>
  <c r="L13" i="1" s="1"/>
  <c r="I12" i="1"/>
  <c r="M12" i="1" s="1"/>
  <c r="K12" i="1"/>
  <c r="L12" i="1" s="1"/>
  <c r="K10" i="1"/>
  <c r="L10" i="1" s="1"/>
  <c r="I10" i="1"/>
  <c r="M10" i="1" s="1"/>
  <c r="O12" i="1" l="1"/>
  <c r="P12" i="1" s="1"/>
  <c r="AF5" i="1"/>
  <c r="AG5" i="1" s="1"/>
  <c r="AF12" i="1"/>
  <c r="AG12" i="1" s="1"/>
  <c r="AF13" i="1"/>
  <c r="AG13" i="1" s="1"/>
  <c r="O6" i="1"/>
  <c r="P6" i="1" s="1"/>
  <c r="O13" i="1"/>
  <c r="P13" i="1" s="1"/>
  <c r="O10" i="1"/>
  <c r="P10" i="1" s="1"/>
  <c r="AG17" i="1" l="1"/>
  <c r="AF17" i="1"/>
  <c r="P5" i="1"/>
  <c r="P17" i="1" s="1"/>
  <c r="O17" i="1"/>
</calcChain>
</file>

<file path=xl/sharedStrings.xml><?xml version="1.0" encoding="utf-8"?>
<sst xmlns="http://schemas.openxmlformats.org/spreadsheetml/2006/main" count="86" uniqueCount="38">
  <si>
    <t>Experiment</t>
  </si>
  <si>
    <t>Drop_06264</t>
  </si>
  <si>
    <t>Scale</t>
  </si>
  <si>
    <t>Top Surface Angle</t>
  </si>
  <si>
    <t>Bottom Surface Angle</t>
  </si>
  <si>
    <t>Top Receding</t>
  </si>
  <si>
    <t>Top Advancing</t>
  </si>
  <si>
    <t>Bottom Receding</t>
  </si>
  <si>
    <t>Bottom  Advancing</t>
  </si>
  <si>
    <t>Frame</t>
  </si>
  <si>
    <t>Input</t>
  </si>
  <si>
    <t>Adjustment Bottom</t>
  </si>
  <si>
    <t>Adjustment Top</t>
  </si>
  <si>
    <t>2α</t>
  </si>
  <si>
    <t>Ave. Advancing</t>
  </si>
  <si>
    <t>Ave. Receding</t>
  </si>
  <si>
    <t>Drop_06286</t>
  </si>
  <si>
    <t>Δθ</t>
  </si>
  <si>
    <t>Drop_06287</t>
  </si>
  <si>
    <t>Scale Factor</t>
  </si>
  <si>
    <t>Frame #</t>
  </si>
  <si>
    <t>Adjustment</t>
  </si>
  <si>
    <t>Top Back</t>
  </si>
  <si>
    <t>Top Front</t>
  </si>
  <si>
    <t>Bottom Back</t>
  </si>
  <si>
    <t>Bottom Front</t>
  </si>
  <si>
    <t>Drop_06262</t>
  </si>
  <si>
    <t>Δcosθ</t>
  </si>
  <si>
    <t>%D</t>
  </si>
  <si>
    <t>1.5deg</t>
  </si>
  <si>
    <t>2ml</t>
  </si>
  <si>
    <t>7.6deg</t>
  </si>
  <si>
    <t>4ml</t>
  </si>
  <si>
    <t>Average</t>
  </si>
  <si>
    <t>Ustart = 56 mm/s</t>
  </si>
  <si>
    <t>Ustart = 15 mm/s</t>
  </si>
  <si>
    <t>Umax = 23 mm/s</t>
  </si>
  <si>
    <t>Uend = 83 mm/s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</si>
</sst>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3" x14ac:knownFonts="1">
    <font>
      <sz val="12"/>
      <color theme="1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8"/>
      <name val="Times New Roman"/>
      <family val="2"/>
    </font>
    <font>
      <sz val="12"/>
      <color theme="9"/>
      <name val="Times New Roman"/>
      <family val="2"/>
    </font>
    <font>
      <sz val="12"/>
      <color theme="8"/>
      <name val="Times New Roman"/>
      <family val="1"/>
    </font>
    <font>
      <b/>
      <sz val="12"/>
      <color theme="8"/>
      <name val="Times New Roman"/>
      <family val="1"/>
    </font>
    <font>
      <b/>
      <sz val="12"/>
      <color theme="9"/>
      <name val="Times New Roman"/>
      <family val="1"/>
    </font>
    <font>
      <sz val="12"/>
      <color theme="9"/>
      <name val="Times New Roman"/>
      <family val="1"/>
    </font>
    <font>
      <b/>
      <sz val="12"/>
      <color rgb="FF3F3F3F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1" xfId="1" applyAlignment="1">
      <alignment horizontal="center" vertical="center"/>
    </xf>
    <xf numFmtId="0" fontId="3" fillId="3" borderId="1" xfId="3" applyAlignment="1">
      <alignment horizontal="center" vertical="center"/>
    </xf>
    <xf numFmtId="0" fontId="2" fillId="3" borderId="2" xfId="2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0" fontId="12" fillId="3" borderId="2" xfId="2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4">
    <cellStyle name="Calculation" xfId="3" builtinId="22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460598847482575E-2"/>
          <c:y val="4.219594456008622E-2"/>
          <c:w val="0.95447136173261415"/>
          <c:h val="0.8431542944786604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Sheet1!$U$4</c:f>
              <c:strCache>
                <c:ptCount val="1"/>
                <c:pt idx="0">
                  <c:v>Top Receding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Sheet1!$R$5:$R$14</c:f>
              <c:numCache>
                <c:formatCode>General</c:formatCode>
                <c:ptCount val="10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</c:numCache>
            </c:numRef>
          </c:xVal>
          <c:yVal>
            <c:numRef>
              <c:f>Sheet1!$U$5:$U$14</c:f>
            </c:numRef>
          </c:yVal>
          <c:smooth val="0"/>
          <c:extLst>
            <c:ext xmlns:c16="http://schemas.microsoft.com/office/drawing/2014/chart" uri="{C3380CC4-5D6E-409C-BE32-E72D297353CC}">
              <c16:uniqueId val="{00000000-2883-4732-BFDA-9ACC31EEB178}"/>
            </c:ext>
          </c:extLst>
        </c:ser>
        <c:ser>
          <c:idx val="1"/>
          <c:order val="1"/>
          <c:tx>
            <c:strRef>
              <c:f>Sheet1!$W$4</c:f>
              <c:strCache>
                <c:ptCount val="1"/>
                <c:pt idx="0">
                  <c:v>Top Advancing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Sheet1!$R$5:$R$14</c:f>
              <c:numCache>
                <c:formatCode>General</c:formatCode>
                <c:ptCount val="10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</c:numCache>
            </c:numRef>
          </c:xVal>
          <c:yVal>
            <c:numRef>
              <c:f>Sheet1!$W$5:$W$14</c:f>
            </c:numRef>
          </c:yVal>
          <c:smooth val="0"/>
          <c:extLst>
            <c:ext xmlns:c16="http://schemas.microsoft.com/office/drawing/2014/chart" uri="{C3380CC4-5D6E-409C-BE32-E72D297353CC}">
              <c16:uniqueId val="{00000001-2883-4732-BFDA-9ACC31EEB178}"/>
            </c:ext>
          </c:extLst>
        </c:ser>
        <c:ser>
          <c:idx val="2"/>
          <c:order val="2"/>
          <c:tx>
            <c:strRef>
              <c:f>Sheet1!$Z$4</c:f>
              <c:strCache>
                <c:ptCount val="1"/>
                <c:pt idx="0">
                  <c:v>Bottom Receding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Sheet1!$R$5:$R$14</c:f>
              <c:numCache>
                <c:formatCode>General</c:formatCode>
                <c:ptCount val="10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</c:numCache>
            </c:numRef>
          </c:xVal>
          <c:yVal>
            <c:numRef>
              <c:f>Sheet1!$Z$5:$Z$14</c:f>
            </c:numRef>
          </c:yVal>
          <c:smooth val="0"/>
          <c:extLst>
            <c:ext xmlns:c16="http://schemas.microsoft.com/office/drawing/2014/chart" uri="{C3380CC4-5D6E-409C-BE32-E72D297353CC}">
              <c16:uniqueId val="{00000002-2883-4732-BFDA-9ACC31EEB178}"/>
            </c:ext>
          </c:extLst>
        </c:ser>
        <c:ser>
          <c:idx val="3"/>
          <c:order val="3"/>
          <c:tx>
            <c:strRef>
              <c:f>Sheet1!$AB$4</c:f>
              <c:strCache>
                <c:ptCount val="1"/>
                <c:pt idx="0">
                  <c:v>Bottom  Advancing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Sheet1!$R$5:$R$14</c:f>
              <c:numCache>
                <c:formatCode>General</c:formatCode>
                <c:ptCount val="10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</c:numCache>
            </c:numRef>
          </c:xVal>
          <c:yVal>
            <c:numRef>
              <c:f>Sheet1!$AB$5:$AB$14</c:f>
            </c:numRef>
          </c:yVal>
          <c:smooth val="0"/>
          <c:extLst>
            <c:ext xmlns:c16="http://schemas.microsoft.com/office/drawing/2014/chart" uri="{C3380CC4-5D6E-409C-BE32-E72D297353CC}">
              <c16:uniqueId val="{00000003-2883-4732-BFDA-9ACC31EEB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721680"/>
        <c:axId val="293722064"/>
      </c:scatterChart>
      <c:valAx>
        <c:axId val="293721680"/>
        <c:scaling>
          <c:orientation val="minMax"/>
          <c:min val="19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722064"/>
        <c:crosses val="autoZero"/>
        <c:crossBetween val="midCat"/>
      </c:valAx>
      <c:valAx>
        <c:axId val="293722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72168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3467855039691909E-2"/>
          <c:y val="7.851942142933406E-2"/>
          <c:w val="0.97476379423035686"/>
          <c:h val="0.8276396448411051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Top Receding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Sheet1!$A$5:$A$14</c:f>
              <c:numCache>
                <c:formatCode>General</c:formatCode>
                <c:ptCount val="1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</c:numCache>
            </c:numRef>
          </c:xVal>
          <c:yVal>
            <c:numRef>
              <c:f>Sheet1!$D$5:$D$14</c:f>
            </c:numRef>
          </c:yVal>
          <c:smooth val="0"/>
          <c:extLst>
            <c:ext xmlns:c16="http://schemas.microsoft.com/office/drawing/2014/chart" uri="{C3380CC4-5D6E-409C-BE32-E72D297353CC}">
              <c16:uniqueId val="{00000000-CC4E-4C69-B66D-8C155D1DDD9A}"/>
            </c:ext>
          </c:extLst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Top Advancing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Sheet1!$A$5:$A$14</c:f>
              <c:numCache>
                <c:formatCode>General</c:formatCode>
                <c:ptCount val="1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</c:numCache>
            </c:numRef>
          </c:xVal>
          <c:yVal>
            <c:numRef>
              <c:f>Sheet1!$F$5:$F$14</c:f>
            </c:numRef>
          </c:yVal>
          <c:smooth val="0"/>
          <c:extLst>
            <c:ext xmlns:c16="http://schemas.microsoft.com/office/drawing/2014/chart" uri="{C3380CC4-5D6E-409C-BE32-E72D297353CC}">
              <c16:uniqueId val="{00000001-CC4E-4C69-B66D-8C155D1DDD9A}"/>
            </c:ext>
          </c:extLst>
        </c:ser>
        <c:ser>
          <c:idx val="2"/>
          <c:order val="2"/>
          <c:tx>
            <c:strRef>
              <c:f>Sheet1!$I$4</c:f>
              <c:strCache>
                <c:ptCount val="1"/>
                <c:pt idx="0">
                  <c:v>Bottom Receding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Sheet1!$A$5:$A$14</c:f>
              <c:numCache>
                <c:formatCode>General</c:formatCode>
                <c:ptCount val="1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</c:numCache>
            </c:numRef>
          </c:xVal>
          <c:yVal>
            <c:numRef>
              <c:f>Sheet1!$I$5:$I$14</c:f>
            </c:numRef>
          </c:yVal>
          <c:smooth val="0"/>
          <c:extLst>
            <c:ext xmlns:c16="http://schemas.microsoft.com/office/drawing/2014/chart" uri="{C3380CC4-5D6E-409C-BE32-E72D297353CC}">
              <c16:uniqueId val="{00000002-CC4E-4C69-B66D-8C155D1DDD9A}"/>
            </c:ext>
          </c:extLst>
        </c:ser>
        <c:ser>
          <c:idx val="3"/>
          <c:order val="3"/>
          <c:tx>
            <c:strRef>
              <c:f>Sheet1!$K$4</c:f>
              <c:strCache>
                <c:ptCount val="1"/>
                <c:pt idx="0">
                  <c:v>Bottom  Advancing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Sheet1!$A$5:$A$14</c:f>
              <c:numCache>
                <c:formatCode>General</c:formatCode>
                <c:ptCount val="1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</c:numCache>
            </c:numRef>
          </c:xVal>
          <c:yVal>
            <c:numRef>
              <c:f>Sheet1!$K$5:$K$14</c:f>
            </c:numRef>
          </c:yVal>
          <c:smooth val="0"/>
          <c:extLst>
            <c:ext xmlns:c16="http://schemas.microsoft.com/office/drawing/2014/chart" uri="{C3380CC4-5D6E-409C-BE32-E72D297353CC}">
              <c16:uniqueId val="{00000003-CC4E-4C69-B66D-8C155D1DD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003128"/>
        <c:axId val="293977760"/>
      </c:scatterChart>
      <c:valAx>
        <c:axId val="294003128"/>
        <c:scaling>
          <c:orientation val="minMax"/>
          <c:min val="19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77760"/>
        <c:crosses val="autoZero"/>
        <c:crossBetween val="midCat"/>
      </c:valAx>
      <c:valAx>
        <c:axId val="293977760"/>
        <c:scaling>
          <c:orientation val="minMax"/>
          <c:min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03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Sheet1!$A$5:$A$14</c:f>
              <c:numCache>
                <c:formatCode>General</c:formatCode>
                <c:ptCount val="1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</c:numCache>
            </c:numRef>
          </c:xVal>
          <c:yVal>
            <c:numRef>
              <c:f>Sheet1!$N$5:$N$14</c:f>
              <c:numCache>
                <c:formatCode>0.000</c:formatCode>
                <c:ptCount val="10"/>
                <c:pt idx="0">
                  <c:v>5.6215000000000259</c:v>
                </c:pt>
                <c:pt idx="1">
                  <c:v>11.927999999999997</c:v>
                </c:pt>
                <c:pt idx="2">
                  <c:v>11.256500000000017</c:v>
                </c:pt>
                <c:pt idx="3">
                  <c:v>13.715000000000032</c:v>
                </c:pt>
                <c:pt idx="4">
                  <c:v>25.676000000000016</c:v>
                </c:pt>
                <c:pt idx="5">
                  <c:v>19.963999999999999</c:v>
                </c:pt>
                <c:pt idx="6">
                  <c:v>2.8020000000000209</c:v>
                </c:pt>
                <c:pt idx="7">
                  <c:v>12.739500000000021</c:v>
                </c:pt>
                <c:pt idx="8">
                  <c:v>13.895000000000039</c:v>
                </c:pt>
                <c:pt idx="9">
                  <c:v>7.8090000000000259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93-4727-93B3-D3F6C4F6B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772984"/>
        <c:axId val="282250624"/>
      </c:scatterChart>
      <c:valAx>
        <c:axId val="285772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50624"/>
        <c:crosses val="autoZero"/>
        <c:crossBetween val="midCat"/>
      </c:valAx>
      <c:valAx>
        <c:axId val="2822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772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Sheet1!$L$4</c:f>
              <c:strCache>
                <c:ptCount val="1"/>
                <c:pt idx="0">
                  <c:v>Ave. Advancing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Sheet1!$A$5:$A$14</c:f>
              <c:numCache>
                <c:formatCode>General</c:formatCode>
                <c:ptCount val="1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</c:numCache>
            </c:numRef>
          </c:xVal>
          <c:yVal>
            <c:numRef>
              <c:f>Sheet1!$L$5:$L$14</c:f>
              <c:numCache>
                <c:formatCode>0.000</c:formatCode>
                <c:ptCount val="10"/>
                <c:pt idx="0">
                  <c:v>147.0675</c:v>
                </c:pt>
                <c:pt idx="1">
                  <c:v>150.95949999999999</c:v>
                </c:pt>
                <c:pt idx="2">
                  <c:v>149.49450000000002</c:v>
                </c:pt>
                <c:pt idx="3">
                  <c:v>153.74150000000003</c:v>
                </c:pt>
                <c:pt idx="4">
                  <c:v>155.72200000000001</c:v>
                </c:pt>
                <c:pt idx="5">
                  <c:v>157.5215</c:v>
                </c:pt>
                <c:pt idx="6">
                  <c:v>145.59250000000003</c:v>
                </c:pt>
                <c:pt idx="7">
                  <c:v>152.041</c:v>
                </c:pt>
                <c:pt idx="8">
                  <c:v>157.92450000000002</c:v>
                </c:pt>
                <c:pt idx="9">
                  <c:v>151.17000000000002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F1-4DC0-B255-B6F800426399}"/>
            </c:ext>
          </c:extLst>
        </c:ser>
        <c:ser>
          <c:idx val="1"/>
          <c:order val="1"/>
          <c:tx>
            <c:strRef>
              <c:f>Sheet1!$M$4</c:f>
              <c:strCache>
                <c:ptCount val="1"/>
                <c:pt idx="0">
                  <c:v>Ave. Receding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Sheet1!$A$5:$A$14</c:f>
              <c:numCache>
                <c:formatCode>General</c:formatCode>
                <c:ptCount val="1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</c:numCache>
            </c:numRef>
          </c:xVal>
          <c:yVal>
            <c:numRef>
              <c:f>Sheet1!$M$5:$M$14</c:f>
              <c:numCache>
                <c:formatCode>0.000</c:formatCode>
                <c:ptCount val="10"/>
                <c:pt idx="0">
                  <c:v>141.44599999999997</c:v>
                </c:pt>
                <c:pt idx="1">
                  <c:v>139.03149999999999</c:v>
                </c:pt>
                <c:pt idx="2">
                  <c:v>138.238</c:v>
                </c:pt>
                <c:pt idx="3">
                  <c:v>140.0265</c:v>
                </c:pt>
                <c:pt idx="4">
                  <c:v>130.04599999999999</c:v>
                </c:pt>
                <c:pt idx="5">
                  <c:v>137.5575</c:v>
                </c:pt>
                <c:pt idx="6">
                  <c:v>142.79050000000001</c:v>
                </c:pt>
                <c:pt idx="7">
                  <c:v>139.30149999999998</c:v>
                </c:pt>
                <c:pt idx="8">
                  <c:v>144.02949999999998</c:v>
                </c:pt>
                <c:pt idx="9">
                  <c:v>143.36099999999999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F1-4DC0-B255-B6F800426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378560"/>
        <c:axId val="293399576"/>
      </c:scatterChart>
      <c:valAx>
        <c:axId val="29337856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0" i="0" baseline="0">
                    <a:effectLst/>
                  </a:rPr>
                  <a:t>frame #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3399576"/>
        <c:crosses val="autoZero"/>
        <c:crossBetween val="midCat"/>
        <c:majorUnit val="5"/>
        <c:minorUnit val="1"/>
      </c:valAx>
      <c:valAx>
        <c:axId val="293399576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800" b="0" i="1" baseline="0">
                    <a:effectLst/>
                  </a:rPr>
                  <a:t>θ</a:t>
                </a:r>
                <a:r>
                  <a:rPr lang="en-US" sz="1800" b="0" i="1" baseline="0">
                    <a:effectLst/>
                  </a:rPr>
                  <a:t>d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337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Sheet1!$AC$4</c:f>
              <c:strCache>
                <c:ptCount val="1"/>
                <c:pt idx="0">
                  <c:v>Ave. Advancing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Sheet1!$R$5:$R$14</c:f>
              <c:numCache>
                <c:formatCode>General</c:formatCode>
                <c:ptCount val="10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</c:numCache>
            </c:numRef>
          </c:xVal>
          <c:yVal>
            <c:numRef>
              <c:f>Sheet1!$AC$5:$AC$14</c:f>
              <c:numCache>
                <c:formatCode>0.000</c:formatCode>
                <c:ptCount val="10"/>
                <c:pt idx="0">
                  <c:v>157.661</c:v>
                </c:pt>
                <c:pt idx="1">
                  <c:v>153.44799999999998</c:v>
                </c:pt>
                <c:pt idx="2">
                  <c:v>145.065</c:v>
                </c:pt>
                <c:pt idx="3">
                  <c:v>156.01349999999999</c:v>
                </c:pt>
                <c:pt idx="4">
                  <c:v>157.90950000000001</c:v>
                </c:pt>
                <c:pt idx="5">
                  <c:v>157.4495</c:v>
                </c:pt>
                <c:pt idx="6">
                  <c:v>155.02500000000001</c:v>
                </c:pt>
                <c:pt idx="7">
                  <c:v>156.27199999999999</c:v>
                </c:pt>
                <c:pt idx="8">
                  <c:v>157.58850000000001</c:v>
                </c:pt>
                <c:pt idx="9">
                  <c:v>155.37700000000001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7-4DAC-9701-CA685F415FEE}"/>
            </c:ext>
          </c:extLst>
        </c:ser>
        <c:ser>
          <c:idx val="1"/>
          <c:order val="1"/>
          <c:tx>
            <c:strRef>
              <c:f>Sheet1!$AD$4</c:f>
              <c:strCache>
                <c:ptCount val="1"/>
                <c:pt idx="0">
                  <c:v>Ave. Receding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Sheet1!$R$5:$R$14</c:f>
              <c:numCache>
                <c:formatCode>General</c:formatCode>
                <c:ptCount val="10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</c:numCache>
            </c:numRef>
          </c:xVal>
          <c:yVal>
            <c:numRef>
              <c:f>Sheet1!$AD$5:$AD$14</c:f>
              <c:numCache>
                <c:formatCode>0.000</c:formatCode>
                <c:ptCount val="10"/>
                <c:pt idx="0">
                  <c:v>146.12950000000001</c:v>
                </c:pt>
                <c:pt idx="1">
                  <c:v>140.11599999999999</c:v>
                </c:pt>
                <c:pt idx="2">
                  <c:v>142.74350000000001</c:v>
                </c:pt>
                <c:pt idx="3">
                  <c:v>143.02199999999999</c:v>
                </c:pt>
                <c:pt idx="4">
                  <c:v>146.8955</c:v>
                </c:pt>
                <c:pt idx="5">
                  <c:v>144.58350000000002</c:v>
                </c:pt>
                <c:pt idx="6">
                  <c:v>150.19800000000001</c:v>
                </c:pt>
                <c:pt idx="7">
                  <c:v>150.97149999999999</c:v>
                </c:pt>
                <c:pt idx="8">
                  <c:v>154.62299999999999</c:v>
                </c:pt>
                <c:pt idx="9">
                  <c:v>153.62799999999999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7-4DAC-9701-CA685F415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652072"/>
        <c:axId val="294241320"/>
      </c:scatterChart>
      <c:valAx>
        <c:axId val="293652072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frame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4241320"/>
        <c:crosses val="autoZero"/>
        <c:crossBetween val="midCat"/>
        <c:majorUnit val="5"/>
        <c:minorUnit val="1"/>
      </c:valAx>
      <c:valAx>
        <c:axId val="294241320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θ</a:t>
                </a:r>
                <a:r>
                  <a:rPr lang="en-US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3652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8978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8978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162484</xdr:colOff>
      <xdr:row>4</xdr:row>
      <xdr:rowOff>152400</xdr:rowOff>
    </xdr:from>
    <xdr:to>
      <xdr:col>28</xdr:col>
      <xdr:colOff>1271867</xdr:colOff>
      <xdr:row>18</xdr:row>
      <xdr:rowOff>4482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697" cy="628244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0"/>
  <sheetViews>
    <sheetView tabSelected="1" zoomScale="85" zoomScaleNormal="85" workbookViewId="0">
      <selection activeCell="N5" sqref="N5:N14"/>
    </sheetView>
  </sheetViews>
  <sheetFormatPr defaultRowHeight="15.75" x14ac:dyDescent="0.25"/>
  <cols>
    <col min="1" max="1" width="20.625" style="1" customWidth="1"/>
    <col min="2" max="3" width="20.625" style="1" hidden="1" customWidth="1"/>
    <col min="4" max="4" width="23.125" style="1" hidden="1" customWidth="1"/>
    <col min="5" max="10" width="20.625" style="1" hidden="1" customWidth="1"/>
    <col min="11" max="11" width="24.625" style="1" hidden="1" customWidth="1"/>
    <col min="12" max="13" width="20.625" style="1" customWidth="1"/>
    <col min="14" max="14" width="20.625" style="22" customWidth="1"/>
    <col min="15" max="15" width="20.625" style="1" customWidth="1"/>
    <col min="16" max="16" width="20.625" style="22" customWidth="1"/>
    <col min="17" max="17" width="8.875" style="26" customWidth="1"/>
    <col min="18" max="18" width="16" style="1" bestFit="1" customWidth="1"/>
    <col min="19" max="19" width="20.75" style="1" hidden="1" customWidth="1"/>
    <col min="20" max="20" width="16.75" style="1" hidden="1" customWidth="1"/>
    <col min="21" max="21" width="19.75" style="1" hidden="1" customWidth="1"/>
    <col min="22" max="22" width="8.75" style="1" hidden="1" customWidth="1"/>
    <col min="23" max="23" width="19.5" style="1" hidden="1" customWidth="1"/>
    <col min="24" max="24" width="25.375" style="1" hidden="1" customWidth="1"/>
    <col min="25" max="25" width="9.5" style="1" hidden="1" customWidth="1"/>
    <col min="26" max="26" width="22.625" style="1" hidden="1" customWidth="1"/>
    <col min="27" max="27" width="8.25" style="1" hidden="1" customWidth="1"/>
    <col min="28" max="28" width="24.625" style="1" hidden="1" customWidth="1"/>
    <col min="29" max="29" width="20.375" style="1" bestFit="1" customWidth="1"/>
    <col min="30" max="30" width="18.75" style="1" bestFit="1" customWidth="1"/>
    <col min="31" max="31" width="18.75" style="22" customWidth="1"/>
    <col min="32" max="32" width="20.625" style="1" customWidth="1"/>
    <col min="33" max="33" width="20.625" style="22" customWidth="1"/>
    <col min="34" max="34" width="2.625" style="26" hidden="1" customWidth="1"/>
    <col min="35" max="45" width="16.75" style="1" hidden="1" customWidth="1"/>
    <col min="46" max="46" width="20.375" style="17" hidden="1" customWidth="1"/>
    <col min="47" max="47" width="18.75" style="17" hidden="1" customWidth="1"/>
    <col min="48" max="48" width="16.75" style="17" hidden="1" customWidth="1"/>
    <col min="49" max="49" width="3.5" style="26" hidden="1" customWidth="1"/>
    <col min="50" max="63" width="21.25" style="1" hidden="1" customWidth="1"/>
    <col min="64" max="64" width="0" style="1" hidden="1" customWidth="1"/>
    <col min="65" max="16384" width="9" style="1"/>
  </cols>
  <sheetData>
    <row r="1" spans="1:63" ht="16.5" thickBot="1" x14ac:dyDescent="0.3">
      <c r="A1" s="23" t="s">
        <v>0</v>
      </c>
      <c r="B1" s="4" t="s">
        <v>2</v>
      </c>
      <c r="C1" s="4" t="s">
        <v>3</v>
      </c>
      <c r="D1" s="4" t="s">
        <v>4</v>
      </c>
      <c r="E1" s="6" t="s">
        <v>13</v>
      </c>
      <c r="L1" s="25" t="s">
        <v>29</v>
      </c>
      <c r="M1" s="25" t="s">
        <v>35</v>
      </c>
      <c r="N1" s="27"/>
      <c r="O1" s="22"/>
      <c r="R1" s="23" t="s">
        <v>0</v>
      </c>
      <c r="S1" s="4" t="s">
        <v>2</v>
      </c>
      <c r="T1" s="4" t="s">
        <v>3</v>
      </c>
      <c r="U1" s="4" t="s">
        <v>4</v>
      </c>
      <c r="V1" s="6" t="s">
        <v>13</v>
      </c>
      <c r="AC1" s="25" t="s">
        <v>31</v>
      </c>
      <c r="AD1" s="25" t="s">
        <v>34</v>
      </c>
      <c r="AE1" s="27"/>
      <c r="AF1" s="22"/>
      <c r="AI1" s="18" t="s">
        <v>26</v>
      </c>
      <c r="AJ1" s="18" t="s">
        <v>19</v>
      </c>
      <c r="AK1" s="19">
        <f>11/1322</f>
        <v>8.3207261724659604E-3</v>
      </c>
      <c r="AL1" s="19"/>
      <c r="AM1" s="19"/>
      <c r="AN1" s="19"/>
      <c r="AO1" s="19"/>
      <c r="AP1" s="19"/>
      <c r="AQ1" s="19"/>
      <c r="AR1" s="19"/>
      <c r="AS1" s="19"/>
      <c r="AT1" s="21"/>
      <c r="AU1" s="21"/>
      <c r="AV1" s="21"/>
      <c r="AX1" s="18" t="s">
        <v>18</v>
      </c>
      <c r="AY1" s="18" t="s">
        <v>19</v>
      </c>
      <c r="AZ1" s="19">
        <f>12/1278</f>
        <v>9.3896713615023476E-3</v>
      </c>
      <c r="BA1" s="19"/>
      <c r="BB1" s="19"/>
      <c r="BC1" s="19"/>
      <c r="BD1" s="19"/>
      <c r="BE1" s="19"/>
      <c r="BF1" s="19"/>
      <c r="BG1" s="19"/>
      <c r="BH1" s="19"/>
    </row>
    <row r="2" spans="1:63" x14ac:dyDescent="0.25">
      <c r="A2" s="24" t="s">
        <v>1</v>
      </c>
      <c r="B2" s="3">
        <f>(100/1214.4)</f>
        <v>8.2345191040843202E-2</v>
      </c>
      <c r="C2" s="8">
        <v>0.68200000000000005</v>
      </c>
      <c r="D2" s="14">
        <f>360-359.17</f>
        <v>0.82999999999998408</v>
      </c>
      <c r="E2" s="3">
        <f>C2+D2</f>
        <v>1.511999999999984</v>
      </c>
      <c r="L2" s="25" t="s">
        <v>30</v>
      </c>
      <c r="M2" s="25" t="s">
        <v>36</v>
      </c>
      <c r="N2" s="27"/>
      <c r="O2" s="22"/>
      <c r="R2" s="24" t="s">
        <v>16</v>
      </c>
      <c r="S2" s="3">
        <f>110/1235.1</f>
        <v>8.9061614444174569E-2</v>
      </c>
      <c r="T2" s="8">
        <v>3.2240000000000002</v>
      </c>
      <c r="U2" s="14">
        <f>360-359.21</f>
        <v>0.79000000000002046</v>
      </c>
      <c r="V2" s="3">
        <f>T2+U2</f>
        <v>4.0140000000000207</v>
      </c>
      <c r="AC2" s="25" t="s">
        <v>32</v>
      </c>
      <c r="AD2" s="25" t="s">
        <v>37</v>
      </c>
      <c r="AE2" s="27"/>
      <c r="AI2" s="18"/>
      <c r="AJ2" s="18"/>
      <c r="AK2" s="19"/>
      <c r="AL2" s="19"/>
      <c r="AM2" s="19"/>
      <c r="AN2" s="19"/>
      <c r="AO2" s="19"/>
      <c r="AP2" s="19"/>
      <c r="AQ2" s="19"/>
      <c r="AR2" s="19"/>
      <c r="AS2" s="19"/>
      <c r="AT2" s="21"/>
      <c r="AU2" s="21"/>
      <c r="AV2" s="21"/>
      <c r="AX2" s="18"/>
      <c r="AY2" s="18"/>
      <c r="AZ2" s="19"/>
      <c r="BA2" s="19"/>
      <c r="BB2" s="19"/>
      <c r="BC2" s="19"/>
      <c r="BD2" s="19"/>
      <c r="BE2" s="19"/>
      <c r="BF2" s="19"/>
      <c r="BG2" s="19"/>
      <c r="BH2" s="19"/>
      <c r="BI2" s="22"/>
      <c r="BJ2" s="22"/>
      <c r="BK2" s="22"/>
    </row>
    <row r="3" spans="1:63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"/>
      <c r="M3" s="2"/>
      <c r="N3" s="27"/>
      <c r="O3" s="2"/>
      <c r="P3" s="25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"/>
      <c r="AD3" s="2"/>
      <c r="AE3" s="27"/>
      <c r="AF3" s="2"/>
      <c r="AG3" s="25"/>
      <c r="AI3" s="18"/>
      <c r="AJ3" s="18"/>
      <c r="AK3" s="19"/>
      <c r="AL3" s="19"/>
      <c r="AM3" s="19"/>
      <c r="AN3" s="19"/>
      <c r="AO3" s="19"/>
      <c r="AP3" s="19"/>
      <c r="AQ3" s="19"/>
      <c r="AR3" s="19"/>
      <c r="AS3" s="19"/>
      <c r="AT3" s="21"/>
      <c r="AU3" s="21"/>
      <c r="AV3" s="21"/>
      <c r="AX3" s="18"/>
      <c r="AY3" s="18"/>
      <c r="AZ3" s="19"/>
      <c r="BA3" s="19"/>
      <c r="BB3" s="19"/>
      <c r="BC3" s="19"/>
      <c r="BD3" s="19"/>
      <c r="BE3" s="19"/>
      <c r="BF3" s="19"/>
      <c r="BG3" s="19"/>
      <c r="BH3" s="19"/>
      <c r="BI3" s="22"/>
      <c r="BJ3" s="22"/>
      <c r="BK3" s="22"/>
    </row>
    <row r="4" spans="1:63" x14ac:dyDescent="0.25">
      <c r="A4" s="4" t="s">
        <v>9</v>
      </c>
      <c r="B4" s="11" t="s">
        <v>12</v>
      </c>
      <c r="C4" s="10" t="s">
        <v>10</v>
      </c>
      <c r="D4" s="5" t="s">
        <v>5</v>
      </c>
      <c r="E4" s="4" t="s">
        <v>10</v>
      </c>
      <c r="F4" s="5" t="s">
        <v>6</v>
      </c>
      <c r="G4" s="12" t="s">
        <v>11</v>
      </c>
      <c r="H4" s="10" t="s">
        <v>10</v>
      </c>
      <c r="I4" s="5" t="s">
        <v>7</v>
      </c>
      <c r="J4" s="4" t="s">
        <v>10</v>
      </c>
      <c r="K4" s="5" t="s">
        <v>8</v>
      </c>
      <c r="L4" s="15" t="s">
        <v>14</v>
      </c>
      <c r="M4" s="15" t="s">
        <v>15</v>
      </c>
      <c r="N4" s="15"/>
      <c r="O4" s="15" t="s">
        <v>27</v>
      </c>
      <c r="P4" s="15" t="s">
        <v>28</v>
      </c>
      <c r="R4" s="4" t="s">
        <v>9</v>
      </c>
      <c r="S4" s="11" t="s">
        <v>12</v>
      </c>
      <c r="T4" s="10" t="s">
        <v>10</v>
      </c>
      <c r="U4" s="5" t="s">
        <v>5</v>
      </c>
      <c r="V4" s="4" t="s">
        <v>10</v>
      </c>
      <c r="W4" s="5" t="s">
        <v>6</v>
      </c>
      <c r="X4" s="12" t="s">
        <v>11</v>
      </c>
      <c r="Y4" s="10" t="s">
        <v>10</v>
      </c>
      <c r="Z4" s="5" t="s">
        <v>7</v>
      </c>
      <c r="AA4" s="4" t="s">
        <v>10</v>
      </c>
      <c r="AB4" s="5" t="s">
        <v>8</v>
      </c>
      <c r="AC4" s="15" t="s">
        <v>14</v>
      </c>
      <c r="AD4" s="15" t="s">
        <v>15</v>
      </c>
      <c r="AE4" s="15"/>
      <c r="AF4" s="15" t="s">
        <v>17</v>
      </c>
      <c r="AG4" s="15" t="s">
        <v>28</v>
      </c>
      <c r="AI4" s="18" t="s">
        <v>20</v>
      </c>
      <c r="AJ4" s="18" t="s">
        <v>21</v>
      </c>
      <c r="AK4" s="18" t="s">
        <v>10</v>
      </c>
      <c r="AL4" s="18" t="s">
        <v>22</v>
      </c>
      <c r="AM4" s="18" t="s">
        <v>10</v>
      </c>
      <c r="AN4" s="18" t="s">
        <v>23</v>
      </c>
      <c r="AO4" s="18" t="s">
        <v>21</v>
      </c>
      <c r="AP4" s="18" t="s">
        <v>10</v>
      </c>
      <c r="AQ4" s="18" t="s">
        <v>24</v>
      </c>
      <c r="AR4" s="18" t="s">
        <v>10</v>
      </c>
      <c r="AS4" s="18" t="s">
        <v>25</v>
      </c>
      <c r="AT4" s="15" t="s">
        <v>14</v>
      </c>
      <c r="AU4" s="15" t="s">
        <v>15</v>
      </c>
      <c r="AV4" s="15" t="s">
        <v>17</v>
      </c>
      <c r="AX4" s="18" t="s">
        <v>20</v>
      </c>
      <c r="AY4" s="18" t="s">
        <v>21</v>
      </c>
      <c r="AZ4" s="18" t="s">
        <v>10</v>
      </c>
      <c r="BA4" s="18" t="s">
        <v>22</v>
      </c>
      <c r="BB4" s="18" t="s">
        <v>10</v>
      </c>
      <c r="BC4" s="18" t="s">
        <v>23</v>
      </c>
      <c r="BD4" s="18" t="s">
        <v>21</v>
      </c>
      <c r="BE4" s="18" t="s">
        <v>10</v>
      </c>
      <c r="BF4" s="18" t="s">
        <v>24</v>
      </c>
      <c r="BG4" s="18" t="s">
        <v>10</v>
      </c>
      <c r="BH4" s="18" t="s">
        <v>25</v>
      </c>
      <c r="BI4" s="15" t="s">
        <v>14</v>
      </c>
      <c r="BJ4" s="15" t="s">
        <v>15</v>
      </c>
      <c r="BK4" s="15" t="s">
        <v>17</v>
      </c>
    </row>
    <row r="5" spans="1:63" x14ac:dyDescent="0.25">
      <c r="A5" s="1">
        <v>20</v>
      </c>
      <c r="B5" s="7">
        <f>C$2</f>
        <v>0.68200000000000005</v>
      </c>
      <c r="C5" s="1">
        <f>207.221</f>
        <v>207.221</v>
      </c>
      <c r="D5" s="1">
        <f>360-C5+B5</f>
        <v>153.46099999999998</v>
      </c>
      <c r="E5" s="1">
        <f>335.142</f>
        <v>335.142</v>
      </c>
      <c r="F5" s="1">
        <f>E5-180-B5</f>
        <v>154.46</v>
      </c>
      <c r="G5" s="9">
        <f t="shared" ref="G5:G14" si="0">D$2</f>
        <v>0.82999999999998408</v>
      </c>
      <c r="H5" s="1">
        <v>128.601</v>
      </c>
      <c r="I5" s="13">
        <f>H5+G5</f>
        <v>129.43099999999998</v>
      </c>
      <c r="J5" s="1">
        <f>39.495</f>
        <v>39.494999999999997</v>
      </c>
      <c r="K5" s="13">
        <f>180-J5-G5</f>
        <v>139.67500000000001</v>
      </c>
      <c r="L5" s="16">
        <f t="shared" ref="L5:L14" si="1">AVERAGE(F5,K5)</f>
        <v>147.0675</v>
      </c>
      <c r="M5" s="16">
        <f t="shared" ref="M5:M14" si="2">AVERAGE(I5,D5)</f>
        <v>141.44599999999997</v>
      </c>
      <c r="N5" s="16">
        <f>L5-M5</f>
        <v>5.6215000000000259</v>
      </c>
      <c r="O5" s="16">
        <f>-COS(L5*PI()/180)+COS(M5*PI()/180)</f>
        <v>5.7290520407796808E-2</v>
      </c>
      <c r="P5" s="16">
        <f>O5/(ABS(COS(AVERAGE(L5,M5)*PI()/180)))*100</f>
        <v>7.0585878344713775</v>
      </c>
      <c r="R5" s="1">
        <v>20</v>
      </c>
      <c r="S5" s="7">
        <f t="shared" ref="S5:S14" si="3">T$2</f>
        <v>3.2240000000000002</v>
      </c>
      <c r="T5" s="1">
        <v>224.37700000000001</v>
      </c>
      <c r="U5" s="1">
        <f>360-T5+S5</f>
        <v>138.84699999999998</v>
      </c>
      <c r="V5" s="1">
        <v>344.10500000000002</v>
      </c>
      <c r="W5" s="1">
        <f>V5-180-S5</f>
        <v>160.88100000000003</v>
      </c>
      <c r="X5" s="9">
        <f t="shared" ref="X5:X14" si="4">U$2</f>
        <v>0.79000000000002046</v>
      </c>
      <c r="Y5" s="1">
        <v>152.62200000000001</v>
      </c>
      <c r="Z5" s="13">
        <f>Y5+X5</f>
        <v>153.41200000000003</v>
      </c>
      <c r="AA5" s="1">
        <v>24.768999999999998</v>
      </c>
      <c r="AB5" s="13">
        <f>180-AA5-X5</f>
        <v>154.44099999999997</v>
      </c>
      <c r="AC5" s="16">
        <f t="shared" ref="AC5:AC14" si="5">AVERAGE(W5,AB5)</f>
        <v>157.661</v>
      </c>
      <c r="AD5" s="16">
        <f t="shared" ref="AD5:AD14" si="6">AVERAGE(Z5,U5)</f>
        <v>146.12950000000001</v>
      </c>
      <c r="AE5" s="16">
        <f>AC5-AD5</f>
        <v>11.531499999999994</v>
      </c>
      <c r="AF5" s="16">
        <f>-COS(AC5*PI()/180)+COS(AD5*PI()/180)</f>
        <v>9.465187397632191E-2</v>
      </c>
      <c r="AG5" s="16">
        <f>AF5/(ABS(COS(AVERAGE(AC5,AD5)*PI()/180)))*100</f>
        <v>10.730436630826262</v>
      </c>
      <c r="AI5" s="19">
        <v>29</v>
      </c>
      <c r="AJ5" s="19">
        <v>0.76300000000000001</v>
      </c>
      <c r="AK5" s="19">
        <f>180-31.701</f>
        <v>148.29900000000001</v>
      </c>
      <c r="AL5" s="19">
        <f t="shared" ref="AL5:AL14" si="7">AJ5+AK5</f>
        <v>149.06200000000001</v>
      </c>
      <c r="AM5" s="19">
        <v>156.37100000000001</v>
      </c>
      <c r="AN5" s="19">
        <f>AM5-AJ5</f>
        <v>155.608</v>
      </c>
      <c r="AO5" s="19">
        <f t="shared" ref="AO5:AO14" si="8">360-359.482</f>
        <v>0.51799999999997226</v>
      </c>
      <c r="AP5" s="19">
        <v>154.05799999999999</v>
      </c>
      <c r="AQ5" s="19">
        <f>AP5-AO5</f>
        <v>153.54000000000002</v>
      </c>
      <c r="AR5" s="19">
        <f>180-25.1</f>
        <v>154.9</v>
      </c>
      <c r="AS5" s="19">
        <f t="shared" ref="AS5:AS14" si="9">AO5+AR5</f>
        <v>155.41799999999998</v>
      </c>
      <c r="AT5" s="21">
        <f t="shared" ref="AT5:AT14" si="10">AVERAGE(AN5,AS5)</f>
        <v>155.51299999999998</v>
      </c>
      <c r="AU5" s="21">
        <f t="shared" ref="AU5:AU14" si="11">AVERAGE(AL5,AQ5)</f>
        <v>151.30100000000002</v>
      </c>
      <c r="AV5" s="16">
        <f>-COS(AT5*PI()/180)+COS(AU5*PI()/180)</f>
        <v>3.290079331212048E-2</v>
      </c>
      <c r="AX5" s="19">
        <v>42</v>
      </c>
      <c r="AY5" s="19">
        <v>2.8820000000000001</v>
      </c>
      <c r="AZ5" s="19">
        <f>180-29.055</f>
        <v>150.94499999999999</v>
      </c>
      <c r="BA5" s="19">
        <f t="shared" ref="BA5:BA14" si="12">AY5+AZ5</f>
        <v>153.827</v>
      </c>
      <c r="BB5" s="19">
        <v>155.92500000000001</v>
      </c>
      <c r="BC5" s="19">
        <f>BB5-AY5</f>
        <v>153.04300000000001</v>
      </c>
      <c r="BD5" s="19">
        <f>360-359.15</f>
        <v>0.85000000000002274</v>
      </c>
      <c r="BE5" s="19">
        <v>160.94200000000001</v>
      </c>
      <c r="BF5" s="19">
        <f>BE5-BD5</f>
        <v>160.09199999999998</v>
      </c>
      <c r="BG5" s="19">
        <f>180-19.983</f>
        <v>160.017</v>
      </c>
      <c r="BH5" s="19">
        <f t="shared" ref="BH5:BH14" si="13">BD5+BG5</f>
        <v>160.86700000000002</v>
      </c>
      <c r="BI5" s="21">
        <f>AVERAGE(BC5,BH5)</f>
        <v>156.95500000000001</v>
      </c>
      <c r="BJ5" s="21">
        <f>AVERAGE(BA5,BF5)</f>
        <v>156.95949999999999</v>
      </c>
      <c r="BK5" s="16">
        <f>-COS(BI5*PI()/180)+COS(BJ5*PI()/180)</f>
        <v>-3.074188481344553E-5</v>
      </c>
    </row>
    <row r="6" spans="1:63" x14ac:dyDescent="0.25">
      <c r="A6" s="1">
        <v>22</v>
      </c>
      <c r="B6" s="7">
        <f t="shared" ref="B6:B14" si="14">C$2</f>
        <v>0.68200000000000005</v>
      </c>
      <c r="C6" s="1">
        <f>215.587</f>
        <v>215.58699999999999</v>
      </c>
      <c r="D6" s="1">
        <f t="shared" ref="D6:D14" si="15">360-C6+B6</f>
        <v>145.095</v>
      </c>
      <c r="E6" s="1">
        <f>331.169</f>
        <v>331.16899999999998</v>
      </c>
      <c r="F6" s="1">
        <f t="shared" ref="F6:F14" si="16">E6-180-B6</f>
        <v>150.48699999999999</v>
      </c>
      <c r="G6" s="9">
        <f t="shared" si="0"/>
        <v>0.82999999999998408</v>
      </c>
      <c r="H6" s="1">
        <f>132.138</f>
        <v>132.13800000000001</v>
      </c>
      <c r="I6" s="13">
        <f t="shared" ref="I6:I14" si="17">H6+G6</f>
        <v>132.96799999999999</v>
      </c>
      <c r="J6" s="1">
        <v>27.738</v>
      </c>
      <c r="K6" s="13">
        <f t="shared" ref="K6:K14" si="18">180-J6-G6</f>
        <v>151.43200000000002</v>
      </c>
      <c r="L6" s="16">
        <f t="shared" si="1"/>
        <v>150.95949999999999</v>
      </c>
      <c r="M6" s="16">
        <f t="shared" si="2"/>
        <v>139.03149999999999</v>
      </c>
      <c r="N6" s="16">
        <f t="shared" ref="N6:N14" si="19">L6-M6</f>
        <v>11.927999999999997</v>
      </c>
      <c r="O6" s="16">
        <f t="shared" ref="O6:O14" si="20">-COS(L6*PI()/180)+COS(M6*PI()/180)</f>
        <v>0.11920664350369703</v>
      </c>
      <c r="P6" s="16">
        <f t="shared" ref="P6:P14" si="21">O6/(ABS(COS(AVERAGE(L6,M6)*PI()/180)))*100</f>
        <v>14.55324450859464</v>
      </c>
      <c r="R6" s="1">
        <v>24</v>
      </c>
      <c r="S6" s="7">
        <f t="shared" si="3"/>
        <v>3.2240000000000002</v>
      </c>
      <c r="T6" s="1">
        <v>224.31</v>
      </c>
      <c r="U6" s="1">
        <f t="shared" ref="U6:U14" si="22">360-T6+S6</f>
        <v>138.91399999999999</v>
      </c>
      <c r="V6" s="1">
        <v>338.31799999999998</v>
      </c>
      <c r="W6" s="1">
        <f t="shared" ref="W6:W14" si="23">V6-180-S6</f>
        <v>155.09399999999999</v>
      </c>
      <c r="X6" s="9">
        <f t="shared" si="4"/>
        <v>0.79000000000002046</v>
      </c>
      <c r="Y6" s="1">
        <v>140.52799999999999</v>
      </c>
      <c r="Z6" s="13">
        <f t="shared" ref="Z6:Z14" si="24">Y6+X6</f>
        <v>141.31800000000001</v>
      </c>
      <c r="AA6" s="1">
        <v>27.408000000000001</v>
      </c>
      <c r="AB6" s="13">
        <f t="shared" ref="AB6:AB14" si="25">180-AA6-X6</f>
        <v>151.80199999999996</v>
      </c>
      <c r="AC6" s="16">
        <f t="shared" si="5"/>
        <v>153.44799999999998</v>
      </c>
      <c r="AD6" s="16">
        <f t="shared" si="6"/>
        <v>140.11599999999999</v>
      </c>
      <c r="AE6" s="16">
        <f t="shared" ref="AE6:AE14" si="26">AC6-AD6</f>
        <v>13.331999999999994</v>
      </c>
      <c r="AF6" s="16">
        <f t="shared" ref="AF6:AF14" si="27">-COS(AC6*PI()/180)+COS(AD6*PI()/180)</f>
        <v>0.12718478836648928</v>
      </c>
      <c r="AG6" s="16">
        <f t="shared" ref="AG6:AG14" si="28">AF6/(ABS(COS(AVERAGE(AC6,AD6)*PI()/180)))*100</f>
        <v>15.202721319723372</v>
      </c>
      <c r="AI6" s="19">
        <v>31</v>
      </c>
      <c r="AJ6" s="19">
        <v>0.76300000000000001</v>
      </c>
      <c r="AK6" s="19">
        <f>180-33.232</f>
        <v>146.768</v>
      </c>
      <c r="AL6" s="19">
        <f t="shared" si="7"/>
        <v>147.53100000000001</v>
      </c>
      <c r="AM6" s="19">
        <v>153.45500000000001</v>
      </c>
      <c r="AN6" s="19">
        <f t="shared" ref="AN6:AN14" si="29">AM6-AJ6</f>
        <v>152.69200000000001</v>
      </c>
      <c r="AO6" s="19">
        <f t="shared" si="8"/>
        <v>0.51799999999997226</v>
      </c>
      <c r="AP6" s="20">
        <v>151.07400000000001</v>
      </c>
      <c r="AQ6" s="19">
        <f t="shared" ref="AQ6:AQ14" si="30">AP6-AO6</f>
        <v>150.55600000000004</v>
      </c>
      <c r="AR6" s="19">
        <f>180-30.379</f>
        <v>149.62100000000001</v>
      </c>
      <c r="AS6" s="19">
        <f t="shared" si="9"/>
        <v>150.13899999999998</v>
      </c>
      <c r="AT6" s="21">
        <f t="shared" si="10"/>
        <v>151.41550000000001</v>
      </c>
      <c r="AU6" s="21">
        <f t="shared" si="11"/>
        <v>149.04350000000002</v>
      </c>
      <c r="AV6" s="16">
        <f t="shared" ref="AV6:AV14" si="31">-COS(AT6*PI()/180)+COS(AU6*PI()/180)</f>
        <v>2.0554361992456749E-2</v>
      </c>
      <c r="AX6" s="19">
        <v>44</v>
      </c>
      <c r="AY6" s="19">
        <v>2.8820000000000001</v>
      </c>
      <c r="AZ6" s="19">
        <f>180-30.784</f>
        <v>149.21600000000001</v>
      </c>
      <c r="BA6" s="19">
        <f t="shared" si="12"/>
        <v>152.09800000000001</v>
      </c>
      <c r="BB6" s="19">
        <v>154.179</v>
      </c>
      <c r="BC6" s="19">
        <f t="shared" ref="BC6:BC14" si="32">BB6-AY6</f>
        <v>151.297</v>
      </c>
      <c r="BD6" s="19">
        <f t="shared" ref="BD6:BD14" si="33">360-359.15</f>
        <v>0.85000000000002274</v>
      </c>
      <c r="BE6" s="20">
        <v>158.19900000000001</v>
      </c>
      <c r="BF6" s="19">
        <f t="shared" ref="BF6:BF14" si="34">BE6-BD6</f>
        <v>157.34899999999999</v>
      </c>
      <c r="BG6" s="19">
        <f>180-23.86</f>
        <v>156.13999999999999</v>
      </c>
      <c r="BH6" s="19">
        <f>BD6+BG6</f>
        <v>156.99</v>
      </c>
      <c r="BI6" s="21">
        <f t="shared" ref="BI6:BI14" si="35">AVERAGE(BC6,BH6)</f>
        <v>154.14350000000002</v>
      </c>
      <c r="BJ6" s="21">
        <f t="shared" ref="BJ6:BJ14" si="36">AVERAGE(BA6,BF6)</f>
        <v>154.7235</v>
      </c>
      <c r="BK6" s="16">
        <f t="shared" ref="BK6:BK14" si="37">-COS(BI6*PI()/180)+COS(BJ6*PI()/180)</f>
        <v>-4.3686079100259123E-3</v>
      </c>
    </row>
    <row r="7" spans="1:63" x14ac:dyDescent="0.25">
      <c r="A7" s="1">
        <v>24</v>
      </c>
      <c r="B7" s="7">
        <f t="shared" si="14"/>
        <v>0.68200000000000005</v>
      </c>
      <c r="C7" s="1">
        <v>212.97800000000001</v>
      </c>
      <c r="D7" s="1">
        <f t="shared" si="15"/>
        <v>147.70399999999998</v>
      </c>
      <c r="E7" s="1">
        <v>329.4</v>
      </c>
      <c r="F7" s="1">
        <f t="shared" si="16"/>
        <v>148.71799999999999</v>
      </c>
      <c r="G7" s="9">
        <f t="shared" si="0"/>
        <v>0.82999999999998408</v>
      </c>
      <c r="H7" s="1">
        <v>127.94199999999999</v>
      </c>
      <c r="I7" s="13">
        <f t="shared" si="17"/>
        <v>128.77199999999999</v>
      </c>
      <c r="J7" s="1">
        <v>28.899000000000001</v>
      </c>
      <c r="K7" s="13">
        <f t="shared" si="18"/>
        <v>150.27100000000002</v>
      </c>
      <c r="L7" s="16">
        <f t="shared" si="1"/>
        <v>149.49450000000002</v>
      </c>
      <c r="M7" s="16">
        <f t="shared" si="2"/>
        <v>138.238</v>
      </c>
      <c r="N7" s="16">
        <f t="shared" si="19"/>
        <v>11.256500000000017</v>
      </c>
      <c r="O7" s="16">
        <f t="shared" si="20"/>
        <v>0.11566253951661187</v>
      </c>
      <c r="P7" s="16">
        <f t="shared" si="21"/>
        <v>14.321003904884838</v>
      </c>
      <c r="R7" s="1">
        <v>28</v>
      </c>
      <c r="S7" s="7">
        <f t="shared" si="3"/>
        <v>3.2240000000000002</v>
      </c>
      <c r="T7" s="1">
        <v>227.726</v>
      </c>
      <c r="U7" s="1">
        <f t="shared" si="22"/>
        <v>135.49799999999999</v>
      </c>
      <c r="V7" s="1">
        <v>321.84300000000002</v>
      </c>
      <c r="W7" s="1">
        <f t="shared" si="23"/>
        <v>138.61900000000003</v>
      </c>
      <c r="X7" s="9">
        <f t="shared" si="4"/>
        <v>0.79000000000002046</v>
      </c>
      <c r="Y7" s="1">
        <v>149.19900000000001</v>
      </c>
      <c r="Z7" s="13">
        <f t="shared" si="24"/>
        <v>149.98900000000003</v>
      </c>
      <c r="AA7" s="1">
        <v>27.699000000000002</v>
      </c>
      <c r="AB7" s="13">
        <f t="shared" si="25"/>
        <v>151.51099999999997</v>
      </c>
      <c r="AC7" s="16">
        <f t="shared" si="5"/>
        <v>145.065</v>
      </c>
      <c r="AD7" s="16">
        <f t="shared" si="6"/>
        <v>142.74350000000001</v>
      </c>
      <c r="AE7" s="16">
        <f t="shared" si="26"/>
        <v>2.3214999999999861</v>
      </c>
      <c r="AF7" s="16">
        <f t="shared" si="27"/>
        <v>2.3868889860069187E-2</v>
      </c>
      <c r="AG7" s="16">
        <f t="shared" si="28"/>
        <v>2.9539477402757859</v>
      </c>
      <c r="AI7" s="19">
        <v>33</v>
      </c>
      <c r="AJ7" s="19">
        <v>0.76300000000000001</v>
      </c>
      <c r="AK7" s="19">
        <f>180-37.405</f>
        <v>142.595</v>
      </c>
      <c r="AL7" s="19">
        <f t="shared" si="7"/>
        <v>143.358</v>
      </c>
      <c r="AM7" s="19">
        <v>147.72399999999999</v>
      </c>
      <c r="AN7" s="19">
        <f t="shared" si="29"/>
        <v>146.96099999999998</v>
      </c>
      <c r="AO7" s="19">
        <f t="shared" si="8"/>
        <v>0.51799999999997226</v>
      </c>
      <c r="AP7" s="19">
        <v>148.29900000000001</v>
      </c>
      <c r="AQ7" s="19">
        <f t="shared" si="30"/>
        <v>147.78100000000003</v>
      </c>
      <c r="AR7" s="19">
        <f>180-37.694</f>
        <v>142.30599999999998</v>
      </c>
      <c r="AS7" s="19">
        <f t="shared" si="9"/>
        <v>142.82399999999996</v>
      </c>
      <c r="AT7" s="21">
        <f t="shared" si="10"/>
        <v>144.89249999999998</v>
      </c>
      <c r="AU7" s="21">
        <f t="shared" si="11"/>
        <v>145.56950000000001</v>
      </c>
      <c r="AV7" s="16">
        <f t="shared" si="31"/>
        <v>-6.7381926833472994E-3</v>
      </c>
      <c r="AX7" s="19">
        <v>46</v>
      </c>
      <c r="AY7" s="19">
        <v>2.8820000000000001</v>
      </c>
      <c r="AZ7" s="19">
        <f>180-32.347</f>
        <v>147.65299999999999</v>
      </c>
      <c r="BA7" s="19">
        <f t="shared" si="12"/>
        <v>150.535</v>
      </c>
      <c r="BB7" s="19">
        <v>155.55600000000001</v>
      </c>
      <c r="BC7" s="19">
        <f t="shared" si="32"/>
        <v>152.67400000000001</v>
      </c>
      <c r="BD7" s="19">
        <f t="shared" si="33"/>
        <v>0.85000000000002274</v>
      </c>
      <c r="BE7" s="19">
        <v>154.85499999999999</v>
      </c>
      <c r="BF7" s="19">
        <f t="shared" si="34"/>
        <v>154.00499999999997</v>
      </c>
      <c r="BG7" s="19">
        <f>180-24.775</f>
        <v>155.22499999999999</v>
      </c>
      <c r="BH7" s="19">
        <f t="shared" si="13"/>
        <v>156.07500000000002</v>
      </c>
      <c r="BI7" s="21">
        <f t="shared" si="35"/>
        <v>154.37450000000001</v>
      </c>
      <c r="BJ7" s="21">
        <f t="shared" si="36"/>
        <v>152.26999999999998</v>
      </c>
      <c r="BK7" s="16">
        <f t="shared" si="37"/>
        <v>1.649001978972886E-2</v>
      </c>
    </row>
    <row r="8" spans="1:63" x14ac:dyDescent="0.25">
      <c r="A8" s="1">
        <v>26</v>
      </c>
      <c r="B8" s="7">
        <f t="shared" si="14"/>
        <v>0.68200000000000005</v>
      </c>
      <c r="C8" s="1">
        <v>213.93</v>
      </c>
      <c r="D8" s="1">
        <f t="shared" si="15"/>
        <v>146.75199999999998</v>
      </c>
      <c r="E8" s="1">
        <v>334.34100000000001</v>
      </c>
      <c r="F8" s="1">
        <f t="shared" si="16"/>
        <v>153.65900000000002</v>
      </c>
      <c r="G8" s="9">
        <f t="shared" si="0"/>
        <v>0.82999999999998408</v>
      </c>
      <c r="H8" s="1">
        <v>132.471</v>
      </c>
      <c r="I8" s="13">
        <f t="shared" si="17"/>
        <v>133.30099999999999</v>
      </c>
      <c r="J8" s="1">
        <v>25.346</v>
      </c>
      <c r="K8" s="13">
        <f t="shared" si="18"/>
        <v>153.82400000000001</v>
      </c>
      <c r="L8" s="16">
        <f t="shared" si="1"/>
        <v>153.74150000000003</v>
      </c>
      <c r="M8" s="16">
        <f t="shared" si="2"/>
        <v>140.0265</v>
      </c>
      <c r="N8" s="16">
        <f t="shared" si="19"/>
        <v>13.715000000000032</v>
      </c>
      <c r="O8" s="16">
        <f t="shared" si="20"/>
        <v>0.13046545849745173</v>
      </c>
      <c r="P8" s="16">
        <f t="shared" si="21"/>
        <v>15.576734240720075</v>
      </c>
      <c r="R8" s="1">
        <v>32</v>
      </c>
      <c r="S8" s="7">
        <f t="shared" si="3"/>
        <v>3.2240000000000002</v>
      </c>
      <c r="T8" s="1">
        <v>214.43899999999999</v>
      </c>
      <c r="U8" s="1">
        <f t="shared" si="22"/>
        <v>148.785</v>
      </c>
      <c r="V8" s="1">
        <v>339.88</v>
      </c>
      <c r="W8" s="1">
        <f t="shared" si="23"/>
        <v>156.65600000000001</v>
      </c>
      <c r="X8" s="9">
        <f t="shared" si="4"/>
        <v>0.79000000000002046</v>
      </c>
      <c r="Y8" s="1">
        <v>136.46899999999999</v>
      </c>
      <c r="Z8" s="13">
        <f t="shared" si="24"/>
        <v>137.25900000000001</v>
      </c>
      <c r="AA8" s="1">
        <v>23.838999999999999</v>
      </c>
      <c r="AB8" s="13">
        <f t="shared" si="25"/>
        <v>155.37099999999998</v>
      </c>
      <c r="AC8" s="16">
        <f t="shared" si="5"/>
        <v>156.01349999999999</v>
      </c>
      <c r="AD8" s="16">
        <f t="shared" si="6"/>
        <v>143.02199999999999</v>
      </c>
      <c r="AE8" s="16">
        <f t="shared" si="26"/>
        <v>12.991500000000002</v>
      </c>
      <c r="AF8" s="16">
        <f t="shared" si="27"/>
        <v>0.11477473579862452</v>
      </c>
      <c r="AG8" s="16">
        <f t="shared" si="28"/>
        <v>13.318235485702987</v>
      </c>
      <c r="AI8" s="19">
        <v>35</v>
      </c>
      <c r="AJ8" s="19">
        <v>0.76300000000000001</v>
      </c>
      <c r="AK8" s="19">
        <f>180-38.157</f>
        <v>141.84300000000002</v>
      </c>
      <c r="AL8" s="19">
        <f t="shared" si="7"/>
        <v>142.60600000000002</v>
      </c>
      <c r="AM8" s="19">
        <v>149.036</v>
      </c>
      <c r="AN8" s="19">
        <f t="shared" si="29"/>
        <v>148.273</v>
      </c>
      <c r="AO8" s="19">
        <f t="shared" si="8"/>
        <v>0.51799999999997226</v>
      </c>
      <c r="AP8" s="19">
        <v>144.29400000000001</v>
      </c>
      <c r="AQ8" s="19">
        <f t="shared" si="30"/>
        <v>143.77600000000004</v>
      </c>
      <c r="AR8" s="19">
        <f>180-40.101</f>
        <v>139.899</v>
      </c>
      <c r="AS8" s="19">
        <f t="shared" si="9"/>
        <v>140.41699999999997</v>
      </c>
      <c r="AT8" s="21">
        <f t="shared" si="10"/>
        <v>144.34499999999997</v>
      </c>
      <c r="AU8" s="21">
        <f t="shared" si="11"/>
        <v>143.19100000000003</v>
      </c>
      <c r="AV8" s="16">
        <f t="shared" si="31"/>
        <v>1.1904321909720572E-2</v>
      </c>
      <c r="AX8" s="19">
        <v>48</v>
      </c>
      <c r="AY8" s="19">
        <v>2.8820000000000001</v>
      </c>
      <c r="AZ8" s="19">
        <f>180-33.69</f>
        <v>146.31</v>
      </c>
      <c r="BA8" s="19">
        <f t="shared" si="12"/>
        <v>149.19200000000001</v>
      </c>
      <c r="BB8" s="19">
        <v>154.435</v>
      </c>
      <c r="BC8" s="19">
        <f t="shared" si="32"/>
        <v>151.553</v>
      </c>
      <c r="BD8" s="19">
        <f t="shared" si="33"/>
        <v>0.85000000000002274</v>
      </c>
      <c r="BE8" s="19">
        <v>152.24100000000001</v>
      </c>
      <c r="BF8" s="19">
        <f t="shared" si="34"/>
        <v>151.39099999999999</v>
      </c>
      <c r="BG8" s="19">
        <f>180-26.114</f>
        <v>153.886</v>
      </c>
      <c r="BH8" s="19">
        <f t="shared" si="13"/>
        <v>154.73600000000002</v>
      </c>
      <c r="BI8" s="21">
        <f t="shared" si="35"/>
        <v>153.14449999999999</v>
      </c>
      <c r="BJ8" s="21">
        <f t="shared" si="36"/>
        <v>150.29149999999998</v>
      </c>
      <c r="BK8" s="16">
        <f t="shared" si="37"/>
        <v>2.3590651640871929E-2</v>
      </c>
    </row>
    <row r="9" spans="1:63" x14ac:dyDescent="0.25">
      <c r="A9" s="1">
        <v>28</v>
      </c>
      <c r="B9" s="7">
        <f t="shared" si="14"/>
        <v>0.68200000000000005</v>
      </c>
      <c r="C9" s="1">
        <v>218.541</v>
      </c>
      <c r="D9" s="1">
        <f t="shared" si="15"/>
        <v>142.14099999999999</v>
      </c>
      <c r="E9" s="1">
        <v>340.774</v>
      </c>
      <c r="F9" s="1">
        <f t="shared" si="16"/>
        <v>160.09200000000001</v>
      </c>
      <c r="G9" s="9">
        <f t="shared" si="0"/>
        <v>0.82999999999998408</v>
      </c>
      <c r="H9" s="1">
        <v>117.121</v>
      </c>
      <c r="I9" s="13">
        <f t="shared" si="17"/>
        <v>117.95099999999998</v>
      </c>
      <c r="J9" s="1">
        <v>27.818000000000001</v>
      </c>
      <c r="K9" s="13">
        <f t="shared" si="18"/>
        <v>151.352</v>
      </c>
      <c r="L9" s="16">
        <f t="shared" si="1"/>
        <v>155.72200000000001</v>
      </c>
      <c r="M9" s="16">
        <f t="shared" si="2"/>
        <v>130.04599999999999</v>
      </c>
      <c r="N9" s="16">
        <f t="shared" si="19"/>
        <v>25.676000000000016</v>
      </c>
      <c r="O9" s="16">
        <f t="shared" si="20"/>
        <v>0.26815879725977843</v>
      </c>
      <c r="P9" s="16">
        <f t="shared" si="21"/>
        <v>33.628492796965148</v>
      </c>
      <c r="R9" s="1">
        <v>36</v>
      </c>
      <c r="S9" s="7">
        <f t="shared" si="3"/>
        <v>3.2240000000000002</v>
      </c>
      <c r="T9" s="1">
        <v>214.91200000000001</v>
      </c>
      <c r="U9" s="1">
        <f t="shared" si="22"/>
        <v>148.31199999999998</v>
      </c>
      <c r="V9" s="1">
        <v>342.50400000000002</v>
      </c>
      <c r="W9" s="1">
        <f t="shared" si="23"/>
        <v>159.28000000000003</v>
      </c>
      <c r="X9" s="9">
        <f t="shared" si="4"/>
        <v>0.79000000000002046</v>
      </c>
      <c r="Y9" s="1">
        <v>144.68899999999999</v>
      </c>
      <c r="Z9" s="13">
        <f t="shared" si="24"/>
        <v>145.47900000000001</v>
      </c>
      <c r="AA9" s="1">
        <v>22.670999999999999</v>
      </c>
      <c r="AB9" s="13">
        <f t="shared" si="25"/>
        <v>156.53899999999999</v>
      </c>
      <c r="AC9" s="16">
        <f t="shared" si="5"/>
        <v>157.90950000000001</v>
      </c>
      <c r="AD9" s="16">
        <f t="shared" si="6"/>
        <v>146.8955</v>
      </c>
      <c r="AE9" s="16">
        <f t="shared" si="26"/>
        <v>11.01400000000001</v>
      </c>
      <c r="AF9" s="16">
        <f t="shared" si="27"/>
        <v>8.8915175191708551E-2</v>
      </c>
      <c r="AG9" s="16">
        <f t="shared" si="28"/>
        <v>10.033038589664663</v>
      </c>
      <c r="AI9" s="19">
        <v>37</v>
      </c>
      <c r="AJ9" s="19">
        <v>0.76300000000000001</v>
      </c>
      <c r="AK9" s="19">
        <f>180-42.797</f>
        <v>137.203</v>
      </c>
      <c r="AL9" s="19">
        <f t="shared" si="7"/>
        <v>137.96600000000001</v>
      </c>
      <c r="AM9" s="19">
        <v>140.52799999999999</v>
      </c>
      <c r="AN9" s="19">
        <f t="shared" si="29"/>
        <v>139.76499999999999</v>
      </c>
      <c r="AO9" s="19">
        <f t="shared" si="8"/>
        <v>0.51799999999997226</v>
      </c>
      <c r="AP9" s="19">
        <v>141.11600000000001</v>
      </c>
      <c r="AQ9" s="19">
        <f t="shared" si="30"/>
        <v>140.59800000000004</v>
      </c>
      <c r="AR9" s="19">
        <f>180-43.452</f>
        <v>136.548</v>
      </c>
      <c r="AS9" s="19">
        <f t="shared" si="9"/>
        <v>137.06599999999997</v>
      </c>
      <c r="AT9" s="21">
        <f t="shared" si="10"/>
        <v>138.41549999999998</v>
      </c>
      <c r="AU9" s="21">
        <f t="shared" si="11"/>
        <v>139.28200000000004</v>
      </c>
      <c r="AV9" s="16">
        <f t="shared" si="31"/>
        <v>-9.9517635750989708E-3</v>
      </c>
      <c r="AX9" s="19">
        <v>50</v>
      </c>
      <c r="AY9" s="19">
        <v>2.8820000000000001</v>
      </c>
      <c r="AZ9" s="19">
        <f>180-36.529</f>
        <v>143.471</v>
      </c>
      <c r="BA9" s="19">
        <f t="shared" si="12"/>
        <v>146.35300000000001</v>
      </c>
      <c r="BB9" s="19">
        <v>150.642</v>
      </c>
      <c r="BC9" s="19">
        <f t="shared" si="32"/>
        <v>147.76</v>
      </c>
      <c r="BD9" s="19">
        <f t="shared" si="33"/>
        <v>0.85000000000002274</v>
      </c>
      <c r="BE9" s="19">
        <v>149.036</v>
      </c>
      <c r="BF9" s="19">
        <f t="shared" si="34"/>
        <v>148.18599999999998</v>
      </c>
      <c r="BG9" s="19">
        <f>180-27.474</f>
        <v>152.52600000000001</v>
      </c>
      <c r="BH9" s="19">
        <f t="shared" si="13"/>
        <v>153.37600000000003</v>
      </c>
      <c r="BI9" s="21">
        <f t="shared" si="35"/>
        <v>150.56800000000001</v>
      </c>
      <c r="BJ9" s="21">
        <f t="shared" si="36"/>
        <v>147.26949999999999</v>
      </c>
      <c r="BK9" s="16">
        <f t="shared" si="37"/>
        <v>2.9716423805617342E-2</v>
      </c>
    </row>
    <row r="10" spans="1:63" x14ac:dyDescent="0.25">
      <c r="A10" s="1">
        <v>30</v>
      </c>
      <c r="B10" s="7">
        <f t="shared" si="14"/>
        <v>0.68200000000000005</v>
      </c>
      <c r="C10" s="1">
        <v>209.39099999999999</v>
      </c>
      <c r="D10" s="1">
        <f t="shared" si="15"/>
        <v>151.291</v>
      </c>
      <c r="E10" s="1">
        <v>341.33</v>
      </c>
      <c r="F10" s="1">
        <f t="shared" si="16"/>
        <v>160.648</v>
      </c>
      <c r="G10" s="9">
        <f t="shared" si="0"/>
        <v>0.82999999999998408</v>
      </c>
      <c r="H10" s="1">
        <v>122.994</v>
      </c>
      <c r="I10" s="13">
        <f t="shared" si="17"/>
        <v>123.82399999999998</v>
      </c>
      <c r="J10" s="1">
        <v>24.774999999999999</v>
      </c>
      <c r="K10" s="13">
        <f t="shared" si="18"/>
        <v>154.39500000000001</v>
      </c>
      <c r="L10" s="16">
        <f t="shared" si="1"/>
        <v>157.5215</v>
      </c>
      <c r="M10" s="16">
        <f t="shared" si="2"/>
        <v>137.5575</v>
      </c>
      <c r="N10" s="16">
        <f t="shared" si="19"/>
        <v>19.963999999999999</v>
      </c>
      <c r="O10" s="16">
        <f t="shared" si="20"/>
        <v>0.18606810415669928</v>
      </c>
      <c r="P10" s="16">
        <f t="shared" si="21"/>
        <v>22.05221123956894</v>
      </c>
      <c r="R10" s="1">
        <v>40</v>
      </c>
      <c r="S10" s="7">
        <f t="shared" si="3"/>
        <v>3.2240000000000002</v>
      </c>
      <c r="T10" s="1">
        <v>212.09299999999999</v>
      </c>
      <c r="U10" s="1">
        <f t="shared" si="22"/>
        <v>151.131</v>
      </c>
      <c r="V10" s="1">
        <v>341.952</v>
      </c>
      <c r="W10" s="1">
        <f t="shared" si="23"/>
        <v>158.72800000000001</v>
      </c>
      <c r="X10" s="9">
        <f t="shared" si="4"/>
        <v>0.79000000000002046</v>
      </c>
      <c r="Y10" s="1">
        <v>137.24600000000001</v>
      </c>
      <c r="Z10" s="13">
        <f t="shared" si="24"/>
        <v>138.03600000000003</v>
      </c>
      <c r="AA10" s="1">
        <v>23.039000000000001</v>
      </c>
      <c r="AB10" s="13">
        <f t="shared" si="25"/>
        <v>156.17099999999999</v>
      </c>
      <c r="AC10" s="16">
        <f t="shared" si="5"/>
        <v>157.4495</v>
      </c>
      <c r="AD10" s="16">
        <f t="shared" si="6"/>
        <v>144.58350000000002</v>
      </c>
      <c r="AE10" s="16">
        <f t="shared" si="26"/>
        <v>12.865999999999985</v>
      </c>
      <c r="AF10" s="16">
        <f t="shared" si="27"/>
        <v>0.10858093893066201</v>
      </c>
      <c r="AG10" s="16">
        <f t="shared" si="28"/>
        <v>12.412664908638394</v>
      </c>
      <c r="AI10" s="19">
        <v>39</v>
      </c>
      <c r="AJ10" s="19">
        <v>0.76300000000000001</v>
      </c>
      <c r="AK10" s="19">
        <f>180-47.203</f>
        <v>132.797</v>
      </c>
      <c r="AL10" s="19">
        <f t="shared" si="7"/>
        <v>133.56</v>
      </c>
      <c r="AM10" s="19">
        <v>144.16200000000001</v>
      </c>
      <c r="AN10" s="19">
        <f t="shared" si="29"/>
        <v>143.399</v>
      </c>
      <c r="AO10" s="19">
        <f t="shared" si="8"/>
        <v>0.51799999999997226</v>
      </c>
      <c r="AP10" s="19">
        <v>140.90600000000001</v>
      </c>
      <c r="AQ10" s="19">
        <f t="shared" si="30"/>
        <v>140.38800000000003</v>
      </c>
      <c r="AR10" s="19">
        <v>135</v>
      </c>
      <c r="AS10" s="19">
        <f t="shared" si="9"/>
        <v>135.51799999999997</v>
      </c>
      <c r="AT10" s="21">
        <f t="shared" si="10"/>
        <v>139.45849999999999</v>
      </c>
      <c r="AU10" s="21">
        <f t="shared" si="11"/>
        <v>136.97400000000002</v>
      </c>
      <c r="AV10" s="16">
        <f t="shared" si="31"/>
        <v>2.8891218105250749E-2</v>
      </c>
      <c r="AX10" s="19">
        <v>52</v>
      </c>
      <c r="AY10" s="19">
        <v>2.8820000000000001</v>
      </c>
      <c r="AZ10" s="19">
        <f>180-39.055</f>
        <v>140.94499999999999</v>
      </c>
      <c r="BA10" s="19">
        <f t="shared" si="12"/>
        <v>143.827</v>
      </c>
      <c r="BB10" s="19">
        <v>152.02099999999999</v>
      </c>
      <c r="BC10" s="19">
        <f t="shared" si="32"/>
        <v>149.13899999999998</v>
      </c>
      <c r="BD10" s="19">
        <f t="shared" si="33"/>
        <v>0.85000000000002274</v>
      </c>
      <c r="BE10" s="19">
        <v>149.65700000000001</v>
      </c>
      <c r="BF10" s="19">
        <f t="shared" si="34"/>
        <v>148.80699999999999</v>
      </c>
      <c r="BG10" s="19">
        <f>180-28.072</f>
        <v>151.928</v>
      </c>
      <c r="BH10" s="19">
        <f t="shared" si="13"/>
        <v>152.77800000000002</v>
      </c>
      <c r="BI10" s="21">
        <f t="shared" si="35"/>
        <v>150.95850000000002</v>
      </c>
      <c r="BJ10" s="21">
        <f t="shared" si="36"/>
        <v>146.31700000000001</v>
      </c>
      <c r="BK10" s="16">
        <f t="shared" si="37"/>
        <v>4.2149613331094016E-2</v>
      </c>
    </row>
    <row r="11" spans="1:63" x14ac:dyDescent="0.25">
      <c r="A11" s="1">
        <v>32</v>
      </c>
      <c r="B11" s="7">
        <f t="shared" si="14"/>
        <v>0.68200000000000005</v>
      </c>
      <c r="C11" s="1">
        <v>214.41399999999999</v>
      </c>
      <c r="D11" s="1">
        <f t="shared" si="15"/>
        <v>146.268</v>
      </c>
      <c r="E11" s="1">
        <v>328.10399999999998</v>
      </c>
      <c r="F11" s="1">
        <f t="shared" si="16"/>
        <v>147.422</v>
      </c>
      <c r="G11" s="9">
        <f t="shared" si="0"/>
        <v>0.82999999999998408</v>
      </c>
      <c r="H11" s="1">
        <v>138.483</v>
      </c>
      <c r="I11" s="13">
        <f t="shared" si="17"/>
        <v>139.31299999999999</v>
      </c>
      <c r="J11" s="1">
        <v>35.406999999999996</v>
      </c>
      <c r="K11" s="13">
        <f t="shared" si="18"/>
        <v>143.76300000000003</v>
      </c>
      <c r="L11" s="16">
        <f t="shared" si="1"/>
        <v>145.59250000000003</v>
      </c>
      <c r="M11" s="16">
        <f t="shared" si="2"/>
        <v>142.79050000000001</v>
      </c>
      <c r="N11" s="16">
        <f t="shared" si="19"/>
        <v>2.8020000000000209</v>
      </c>
      <c r="O11" s="16">
        <f t="shared" si="20"/>
        <v>2.8609876455465866E-2</v>
      </c>
      <c r="P11" s="16">
        <f t="shared" si="21"/>
        <v>3.5278282124566762</v>
      </c>
      <c r="R11" s="1">
        <v>44</v>
      </c>
      <c r="S11" s="7">
        <f t="shared" si="3"/>
        <v>3.2240000000000002</v>
      </c>
      <c r="T11" s="1">
        <v>209.05500000000001</v>
      </c>
      <c r="U11" s="1">
        <f t="shared" si="22"/>
        <v>154.16899999999998</v>
      </c>
      <c r="V11" s="1">
        <v>339.62400000000002</v>
      </c>
      <c r="W11" s="1">
        <f t="shared" si="23"/>
        <v>156.40000000000003</v>
      </c>
      <c r="X11" s="9">
        <f t="shared" si="4"/>
        <v>0.79000000000002046</v>
      </c>
      <c r="Y11" s="1">
        <v>145.43700000000001</v>
      </c>
      <c r="Z11" s="13">
        <f t="shared" si="24"/>
        <v>146.22700000000003</v>
      </c>
      <c r="AA11" s="1">
        <v>25.56</v>
      </c>
      <c r="AB11" s="13">
        <f t="shared" si="25"/>
        <v>153.64999999999998</v>
      </c>
      <c r="AC11" s="16">
        <f t="shared" si="5"/>
        <v>155.02500000000001</v>
      </c>
      <c r="AD11" s="16">
        <f t="shared" si="6"/>
        <v>150.19800000000001</v>
      </c>
      <c r="AE11" s="16">
        <f t="shared" si="26"/>
        <v>4.8269999999999982</v>
      </c>
      <c r="AF11" s="16">
        <f t="shared" si="27"/>
        <v>3.8743997583928658E-2</v>
      </c>
      <c r="AG11" s="16">
        <f t="shared" si="28"/>
        <v>4.3635161678335894</v>
      </c>
      <c r="AI11" s="19">
        <v>41</v>
      </c>
      <c r="AJ11" s="19">
        <v>0.76300000000000001</v>
      </c>
      <c r="AK11" s="19">
        <f>180-49.236</f>
        <v>130.76400000000001</v>
      </c>
      <c r="AL11" s="19">
        <f t="shared" si="7"/>
        <v>131.52700000000002</v>
      </c>
      <c r="AM11" s="19">
        <v>139.08600000000001</v>
      </c>
      <c r="AN11" s="19">
        <f t="shared" si="29"/>
        <v>138.32300000000001</v>
      </c>
      <c r="AO11" s="19">
        <f t="shared" si="8"/>
        <v>0.51799999999997226</v>
      </c>
      <c r="AP11" s="19">
        <v>136.97499999999999</v>
      </c>
      <c r="AQ11" s="19">
        <f t="shared" si="30"/>
        <v>136.45700000000002</v>
      </c>
      <c r="AR11" s="19">
        <f>180-46.469</f>
        <v>133.53100000000001</v>
      </c>
      <c r="AS11" s="19">
        <f t="shared" si="9"/>
        <v>134.04899999999998</v>
      </c>
      <c r="AT11" s="21">
        <f t="shared" si="10"/>
        <v>136.18599999999998</v>
      </c>
      <c r="AU11" s="21">
        <f t="shared" si="11"/>
        <v>133.99200000000002</v>
      </c>
      <c r="AV11" s="16">
        <f t="shared" si="31"/>
        <v>2.7033159167473175E-2</v>
      </c>
      <c r="AX11" s="19">
        <v>54</v>
      </c>
      <c r="AY11" s="19">
        <v>2.8820000000000001</v>
      </c>
      <c r="AZ11" s="19">
        <f>180-40.815</f>
        <v>139.185</v>
      </c>
      <c r="BA11" s="19">
        <f t="shared" si="12"/>
        <v>142.06700000000001</v>
      </c>
      <c r="BB11" s="19">
        <v>154.79900000000001</v>
      </c>
      <c r="BC11" s="19">
        <f t="shared" si="32"/>
        <v>151.917</v>
      </c>
      <c r="BD11" s="19">
        <f t="shared" si="33"/>
        <v>0.85000000000002274</v>
      </c>
      <c r="BE11" s="19">
        <v>149.036</v>
      </c>
      <c r="BF11" s="19">
        <f t="shared" si="34"/>
        <v>148.18599999999998</v>
      </c>
      <c r="BG11" s="19">
        <f>180-25.821</f>
        <v>154.179</v>
      </c>
      <c r="BH11" s="19">
        <f t="shared" si="13"/>
        <v>155.02900000000002</v>
      </c>
      <c r="BI11" s="21">
        <f t="shared" si="35"/>
        <v>153.47300000000001</v>
      </c>
      <c r="BJ11" s="21">
        <f t="shared" si="36"/>
        <v>145.12649999999999</v>
      </c>
      <c r="BK11" s="16">
        <f t="shared" si="37"/>
        <v>7.4307583858602033E-2</v>
      </c>
    </row>
    <row r="12" spans="1:63" x14ac:dyDescent="0.25">
      <c r="A12" s="1">
        <v>34</v>
      </c>
      <c r="B12" s="7">
        <f t="shared" si="14"/>
        <v>0.68200000000000005</v>
      </c>
      <c r="C12" s="1">
        <v>212.845</v>
      </c>
      <c r="D12" s="1">
        <f t="shared" si="15"/>
        <v>147.83699999999999</v>
      </c>
      <c r="E12" s="1">
        <v>340.50299999999999</v>
      </c>
      <c r="F12" s="1">
        <f t="shared" si="16"/>
        <v>159.821</v>
      </c>
      <c r="G12" s="9">
        <f t="shared" si="0"/>
        <v>0.82999999999998408</v>
      </c>
      <c r="H12" s="1">
        <v>129.93600000000001</v>
      </c>
      <c r="I12" s="13">
        <f t="shared" si="17"/>
        <v>130.76599999999999</v>
      </c>
      <c r="J12" s="1">
        <v>34.908999999999999</v>
      </c>
      <c r="K12" s="13">
        <f t="shared" si="18"/>
        <v>144.26100000000002</v>
      </c>
      <c r="L12" s="16">
        <f t="shared" si="1"/>
        <v>152.041</v>
      </c>
      <c r="M12" s="16">
        <f t="shared" si="2"/>
        <v>139.30149999999998</v>
      </c>
      <c r="N12" s="16">
        <f t="shared" si="19"/>
        <v>12.739500000000021</v>
      </c>
      <c r="O12" s="16">
        <f t="shared" si="20"/>
        <v>0.12513190573934918</v>
      </c>
      <c r="P12" s="16">
        <f t="shared" si="21"/>
        <v>15.152527093281954</v>
      </c>
      <c r="R12" s="1">
        <v>48</v>
      </c>
      <c r="S12" s="7">
        <f t="shared" si="3"/>
        <v>3.2240000000000002</v>
      </c>
      <c r="T12" s="1">
        <v>205.602</v>
      </c>
      <c r="U12" s="1">
        <f t="shared" si="22"/>
        <v>157.62199999999999</v>
      </c>
      <c r="V12" s="1">
        <v>339.96300000000002</v>
      </c>
      <c r="W12" s="1">
        <f t="shared" si="23"/>
        <v>156.73900000000003</v>
      </c>
      <c r="X12" s="9">
        <f t="shared" si="4"/>
        <v>0.79000000000002046</v>
      </c>
      <c r="Y12" s="1">
        <v>143.53100000000001</v>
      </c>
      <c r="Z12" s="13">
        <f t="shared" si="24"/>
        <v>144.32100000000003</v>
      </c>
      <c r="AA12" s="1">
        <v>23.405000000000001</v>
      </c>
      <c r="AB12" s="13">
        <f t="shared" si="25"/>
        <v>155.80499999999998</v>
      </c>
      <c r="AC12" s="16">
        <f t="shared" si="5"/>
        <v>156.27199999999999</v>
      </c>
      <c r="AD12" s="16">
        <f t="shared" si="6"/>
        <v>150.97149999999999</v>
      </c>
      <c r="AE12" s="16">
        <f t="shared" si="26"/>
        <v>5.3004999999999995</v>
      </c>
      <c r="AF12" s="16">
        <f t="shared" si="27"/>
        <v>4.1087609758268639E-2</v>
      </c>
      <c r="AG12" s="16">
        <f t="shared" si="28"/>
        <v>4.5862824925697439</v>
      </c>
      <c r="AI12" s="19">
        <v>43</v>
      </c>
      <c r="AJ12" s="19">
        <v>0.76300000000000001</v>
      </c>
      <c r="AK12" s="19">
        <v>133.05799999999999</v>
      </c>
      <c r="AL12" s="19">
        <f t="shared" si="7"/>
        <v>133.821</v>
      </c>
      <c r="AM12" s="19">
        <v>135</v>
      </c>
      <c r="AN12" s="19">
        <f t="shared" si="29"/>
        <v>134.23699999999999</v>
      </c>
      <c r="AO12" s="19">
        <f t="shared" si="8"/>
        <v>0.51799999999997226</v>
      </c>
      <c r="AP12" s="19">
        <v>131.49600000000001</v>
      </c>
      <c r="AQ12" s="19">
        <f t="shared" si="30"/>
        <v>130.97800000000004</v>
      </c>
      <c r="AR12" s="19">
        <f>180-52.125</f>
        <v>127.875</v>
      </c>
      <c r="AS12" s="19">
        <f t="shared" si="9"/>
        <v>128.39299999999997</v>
      </c>
      <c r="AT12" s="21">
        <f t="shared" si="10"/>
        <v>131.315</v>
      </c>
      <c r="AU12" s="21">
        <f t="shared" si="11"/>
        <v>132.39950000000002</v>
      </c>
      <c r="AV12" s="16">
        <f t="shared" si="31"/>
        <v>-1.4097617488495473E-2</v>
      </c>
      <c r="AX12" s="19">
        <v>56</v>
      </c>
      <c r="AY12" s="19">
        <v>2.8820000000000001</v>
      </c>
      <c r="AZ12" s="19">
        <f>180-37.266</f>
        <v>142.73400000000001</v>
      </c>
      <c r="BA12" s="19">
        <f t="shared" si="12"/>
        <v>145.61600000000001</v>
      </c>
      <c r="BB12" s="19">
        <v>150.803</v>
      </c>
      <c r="BC12" s="19">
        <f t="shared" si="32"/>
        <v>147.92099999999999</v>
      </c>
      <c r="BD12" s="19">
        <f t="shared" si="33"/>
        <v>0.85000000000002274</v>
      </c>
      <c r="BE12" s="19">
        <v>146.31</v>
      </c>
      <c r="BF12" s="19">
        <f t="shared" si="34"/>
        <v>145.45999999999998</v>
      </c>
      <c r="BG12" s="19">
        <f>180-30.964</f>
        <v>149.036</v>
      </c>
      <c r="BH12" s="19">
        <f t="shared" si="13"/>
        <v>149.88600000000002</v>
      </c>
      <c r="BI12" s="21">
        <f t="shared" si="35"/>
        <v>148.90350000000001</v>
      </c>
      <c r="BJ12" s="21">
        <f t="shared" si="36"/>
        <v>145.53800000000001</v>
      </c>
      <c r="BK12" s="16">
        <f t="shared" si="37"/>
        <v>3.1796974044850934E-2</v>
      </c>
    </row>
    <row r="13" spans="1:63" x14ac:dyDescent="0.25">
      <c r="A13" s="1">
        <v>36</v>
      </c>
      <c r="B13" s="7">
        <f t="shared" si="14"/>
        <v>0.68200000000000005</v>
      </c>
      <c r="C13" s="1">
        <v>205.18299999999999</v>
      </c>
      <c r="D13" s="1">
        <f t="shared" si="15"/>
        <v>155.499</v>
      </c>
      <c r="E13" s="1">
        <v>343.04500000000002</v>
      </c>
      <c r="F13" s="1">
        <f t="shared" si="16"/>
        <v>162.36300000000003</v>
      </c>
      <c r="G13" s="9">
        <f t="shared" si="0"/>
        <v>0.82999999999998408</v>
      </c>
      <c r="H13" s="1">
        <v>131.72999999999999</v>
      </c>
      <c r="I13" s="13">
        <f t="shared" si="17"/>
        <v>132.55999999999997</v>
      </c>
      <c r="J13" s="1">
        <v>25.684000000000001</v>
      </c>
      <c r="K13" s="13">
        <f t="shared" si="18"/>
        <v>153.48600000000002</v>
      </c>
      <c r="L13" s="16">
        <f t="shared" si="1"/>
        <v>157.92450000000002</v>
      </c>
      <c r="M13" s="16">
        <f t="shared" si="2"/>
        <v>144.02949999999998</v>
      </c>
      <c r="N13" s="16">
        <f t="shared" si="19"/>
        <v>13.895000000000039</v>
      </c>
      <c r="O13" s="16">
        <f t="shared" si="20"/>
        <v>0.11736990041398754</v>
      </c>
      <c r="P13" s="16">
        <f t="shared" si="21"/>
        <v>13.422523087966603</v>
      </c>
      <c r="R13" s="1">
        <v>52</v>
      </c>
      <c r="S13" s="7">
        <f t="shared" si="3"/>
        <v>3.2240000000000002</v>
      </c>
      <c r="T13" s="1">
        <v>207.87200000000001</v>
      </c>
      <c r="U13" s="1">
        <f t="shared" si="22"/>
        <v>155.35199999999998</v>
      </c>
      <c r="V13" s="1">
        <v>343.91800000000001</v>
      </c>
      <c r="W13" s="1">
        <f t="shared" si="23"/>
        <v>160.69400000000002</v>
      </c>
      <c r="X13" s="9">
        <f t="shared" si="4"/>
        <v>0.79000000000002046</v>
      </c>
      <c r="Y13" s="1">
        <v>153.10400000000001</v>
      </c>
      <c r="Z13" s="13">
        <f t="shared" si="24"/>
        <v>153.89400000000003</v>
      </c>
      <c r="AA13" s="1">
        <v>24.727</v>
      </c>
      <c r="AB13" s="13">
        <f t="shared" si="25"/>
        <v>154.48299999999998</v>
      </c>
      <c r="AC13" s="16">
        <f t="shared" si="5"/>
        <v>157.58850000000001</v>
      </c>
      <c r="AD13" s="16">
        <f t="shared" si="6"/>
        <v>154.62299999999999</v>
      </c>
      <c r="AE13" s="16">
        <f t="shared" si="26"/>
        <v>2.96550000000002</v>
      </c>
      <c r="AF13" s="16">
        <f t="shared" si="27"/>
        <v>2.0962123589296278E-2</v>
      </c>
      <c r="AG13" s="16">
        <f t="shared" si="28"/>
        <v>2.2927099622480323</v>
      </c>
      <c r="AI13" s="19">
        <v>45</v>
      </c>
      <c r="AJ13" s="19">
        <v>0.76300000000000001</v>
      </c>
      <c r="AK13" s="19">
        <f>180-54.638</f>
        <v>125.36199999999999</v>
      </c>
      <c r="AL13" s="19">
        <f t="shared" si="7"/>
        <v>126.125</v>
      </c>
      <c r="AM13" s="19">
        <v>132.13800000000001</v>
      </c>
      <c r="AN13" s="19">
        <f t="shared" si="29"/>
        <v>131.375</v>
      </c>
      <c r="AO13" s="19">
        <f t="shared" si="8"/>
        <v>0.51799999999997226</v>
      </c>
      <c r="AP13" s="19">
        <v>133.02500000000001</v>
      </c>
      <c r="AQ13" s="19">
        <f t="shared" si="30"/>
        <v>132.50700000000003</v>
      </c>
      <c r="AR13" s="19">
        <f>180-56.31</f>
        <v>123.69</v>
      </c>
      <c r="AS13" s="19">
        <f t="shared" si="9"/>
        <v>124.20799999999997</v>
      </c>
      <c r="AT13" s="21">
        <f t="shared" si="10"/>
        <v>127.79149999999998</v>
      </c>
      <c r="AU13" s="21">
        <f t="shared" si="11"/>
        <v>129.31600000000003</v>
      </c>
      <c r="AV13" s="16">
        <f t="shared" si="31"/>
        <v>-2.0807119828304188E-2</v>
      </c>
      <c r="AX13" s="19">
        <v>58</v>
      </c>
      <c r="AY13" s="19">
        <v>2.8820000000000001</v>
      </c>
      <c r="AZ13" s="19">
        <f>180-41.906</f>
        <v>138.09399999999999</v>
      </c>
      <c r="BA13" s="19">
        <f t="shared" si="12"/>
        <v>140.976</v>
      </c>
      <c r="BB13" s="19">
        <v>151.50399999999999</v>
      </c>
      <c r="BC13" s="19">
        <f t="shared" si="32"/>
        <v>148.62199999999999</v>
      </c>
      <c r="BD13" s="19">
        <f t="shared" si="33"/>
        <v>0.85000000000002274</v>
      </c>
      <c r="BE13" s="19">
        <v>146.65899999999999</v>
      </c>
      <c r="BF13" s="19">
        <f t="shared" si="34"/>
        <v>145.80899999999997</v>
      </c>
      <c r="BG13" s="19">
        <f>180-35.91</f>
        <v>144.09</v>
      </c>
      <c r="BH13" s="19">
        <f t="shared" si="13"/>
        <v>144.94000000000003</v>
      </c>
      <c r="BI13" s="21">
        <f t="shared" si="35"/>
        <v>146.78100000000001</v>
      </c>
      <c r="BJ13" s="21">
        <f t="shared" si="36"/>
        <v>143.39249999999998</v>
      </c>
      <c r="BK13" s="16">
        <f t="shared" si="37"/>
        <v>3.3843265953284907E-2</v>
      </c>
    </row>
    <row r="14" spans="1:63" x14ac:dyDescent="0.25">
      <c r="A14" s="1">
        <v>38</v>
      </c>
      <c r="B14" s="7">
        <f t="shared" si="14"/>
        <v>0.68200000000000005</v>
      </c>
      <c r="C14" s="1">
        <v>207.78</v>
      </c>
      <c r="D14" s="1">
        <f t="shared" si="15"/>
        <v>152.90199999999999</v>
      </c>
      <c r="E14" s="1">
        <v>339.928</v>
      </c>
      <c r="F14" s="1">
        <f t="shared" si="16"/>
        <v>159.24600000000001</v>
      </c>
      <c r="G14" s="9">
        <f t="shared" si="0"/>
        <v>0.82999999999998408</v>
      </c>
      <c r="H14" s="1">
        <v>132.99</v>
      </c>
      <c r="I14" s="13">
        <f t="shared" si="17"/>
        <v>133.82</v>
      </c>
      <c r="J14" s="1">
        <v>36.076000000000001</v>
      </c>
      <c r="K14" s="13">
        <f t="shared" si="18"/>
        <v>143.09400000000002</v>
      </c>
      <c r="L14" s="16">
        <f t="shared" si="1"/>
        <v>151.17000000000002</v>
      </c>
      <c r="M14" s="16">
        <f t="shared" si="2"/>
        <v>143.36099999999999</v>
      </c>
      <c r="N14" s="16">
        <f t="shared" si="19"/>
        <v>7.8090000000000259</v>
      </c>
      <c r="O14" s="16">
        <f t="shared" si="20"/>
        <v>7.364286245761209E-2</v>
      </c>
      <c r="P14" s="16">
        <f t="shared" si="21"/>
        <v>8.7546536824878931</v>
      </c>
      <c r="R14" s="1">
        <v>56</v>
      </c>
      <c r="S14" s="7">
        <f t="shared" si="3"/>
        <v>3.2240000000000002</v>
      </c>
      <c r="T14" s="1">
        <v>213.453</v>
      </c>
      <c r="U14" s="1">
        <f t="shared" si="22"/>
        <v>149.77099999999999</v>
      </c>
      <c r="V14" s="1">
        <v>341.33300000000003</v>
      </c>
      <c r="W14" s="1">
        <f t="shared" si="23"/>
        <v>158.10900000000004</v>
      </c>
      <c r="X14" s="9">
        <f t="shared" si="4"/>
        <v>0.79000000000002046</v>
      </c>
      <c r="Y14" s="1">
        <v>156.69499999999999</v>
      </c>
      <c r="Z14" s="13">
        <f t="shared" si="24"/>
        <v>157.48500000000001</v>
      </c>
      <c r="AA14" s="1">
        <v>26.565000000000001</v>
      </c>
      <c r="AB14" s="13">
        <f t="shared" si="25"/>
        <v>152.64499999999998</v>
      </c>
      <c r="AC14" s="16">
        <f t="shared" si="5"/>
        <v>155.37700000000001</v>
      </c>
      <c r="AD14" s="16">
        <f t="shared" si="6"/>
        <v>153.62799999999999</v>
      </c>
      <c r="AE14" s="16">
        <f t="shared" si="26"/>
        <v>1.7490000000000236</v>
      </c>
      <c r="AF14" s="16">
        <f t="shared" si="27"/>
        <v>1.313998695963281E-2</v>
      </c>
      <c r="AG14" s="16">
        <f t="shared" si="28"/>
        <v>1.4557863657284966</v>
      </c>
      <c r="AI14" s="19">
        <v>47</v>
      </c>
      <c r="AJ14" s="19">
        <v>0.76300000000000001</v>
      </c>
      <c r="AK14" s="19">
        <f>180-46.79</f>
        <v>133.21</v>
      </c>
      <c r="AL14" s="19">
        <f t="shared" si="7"/>
        <v>133.97300000000001</v>
      </c>
      <c r="AM14" s="19">
        <v>142.696</v>
      </c>
      <c r="AN14" s="19">
        <f t="shared" si="29"/>
        <v>141.93299999999999</v>
      </c>
      <c r="AO14" s="19">
        <f t="shared" si="8"/>
        <v>0.51799999999997226</v>
      </c>
      <c r="AP14" s="19">
        <v>125.70699999999999</v>
      </c>
      <c r="AQ14" s="19">
        <f t="shared" si="30"/>
        <v>125.18900000000002</v>
      </c>
      <c r="AR14" s="19">
        <f>180-51.009</f>
        <v>128.99099999999999</v>
      </c>
      <c r="AS14" s="19">
        <f t="shared" si="9"/>
        <v>129.50899999999996</v>
      </c>
      <c r="AT14" s="21">
        <f t="shared" si="10"/>
        <v>135.72099999999998</v>
      </c>
      <c r="AU14" s="21">
        <f t="shared" si="11"/>
        <v>129.58100000000002</v>
      </c>
      <c r="AV14" s="16">
        <f t="shared" si="31"/>
        <v>7.8780225359781686E-2</v>
      </c>
      <c r="AX14" s="19">
        <v>60</v>
      </c>
      <c r="AY14" s="19">
        <v>2.8820000000000001</v>
      </c>
      <c r="AZ14" s="19">
        <f>180-34.33</f>
        <v>145.67000000000002</v>
      </c>
      <c r="BA14" s="19">
        <f t="shared" si="12"/>
        <v>148.55200000000002</v>
      </c>
      <c r="BB14" s="19">
        <v>147.529</v>
      </c>
      <c r="BC14" s="19">
        <f t="shared" si="32"/>
        <v>144.64699999999999</v>
      </c>
      <c r="BD14" s="19">
        <f t="shared" si="33"/>
        <v>0.85000000000002274</v>
      </c>
      <c r="BE14" s="19">
        <v>148.86099999999999</v>
      </c>
      <c r="BF14" s="19">
        <f t="shared" si="34"/>
        <v>148.01099999999997</v>
      </c>
      <c r="BG14" s="19">
        <f>180-38.047</f>
        <v>141.953</v>
      </c>
      <c r="BH14" s="19">
        <f t="shared" si="13"/>
        <v>142.80300000000003</v>
      </c>
      <c r="BI14" s="21">
        <f t="shared" si="35"/>
        <v>143.72500000000002</v>
      </c>
      <c r="BJ14" s="21">
        <f t="shared" si="36"/>
        <v>148.28149999999999</v>
      </c>
      <c r="BK14" s="16">
        <f t="shared" si="37"/>
        <v>-4.4454877681858296E-2</v>
      </c>
    </row>
    <row r="15" spans="1:63" s="26" customFormat="1" ht="20.25" customHeight="1" x14ac:dyDescent="0.25">
      <c r="L15" s="28">
        <f>AVERAGE(L5:L14)</f>
        <v>152.12344999999999</v>
      </c>
      <c r="M15" s="28">
        <f>AVERAGE(M5:M14)</f>
        <v>139.58279999999999</v>
      </c>
      <c r="N15" s="28"/>
      <c r="AC15" s="28">
        <f>AVERAGE(AC5:AC14)</f>
        <v>155.18090000000001</v>
      </c>
      <c r="AD15" s="28">
        <f>AVERAGE(AD5:AD14)</f>
        <v>147.29104999999998</v>
      </c>
      <c r="AE15" s="28"/>
    </row>
    <row r="16" spans="1:63" ht="16.5" thickBot="1" x14ac:dyDescent="0.3">
      <c r="A16"/>
      <c r="L16" s="13">
        <f>AVERAGE(L15:M15)</f>
        <v>145.85312499999998</v>
      </c>
      <c r="N16" s="13">
        <f>AVERAGE(N5:N14)</f>
        <v>12.540650000000019</v>
      </c>
      <c r="O16" s="23" t="s">
        <v>33</v>
      </c>
      <c r="P16" s="23" t="s">
        <v>33</v>
      </c>
      <c r="R16"/>
      <c r="AC16" s="13">
        <f>AVERAGE(AC15:AD15)</f>
        <v>151.235975</v>
      </c>
      <c r="AF16" s="23" t="s">
        <v>33</v>
      </c>
      <c r="AG16" s="23" t="s">
        <v>33</v>
      </c>
    </row>
    <row r="17" spans="1:33" x14ac:dyDescent="0.25">
      <c r="A17" s="13"/>
      <c r="N17" s="22">
        <f>_xlfn.STDEV.S(N5:N14)</f>
        <v>6.650190319122868</v>
      </c>
      <c r="O17" s="16">
        <f>AVERAGE(O5:O14)</f>
        <v>0.12216066084084498</v>
      </c>
      <c r="P17" s="16">
        <f>AVERAGE(P5:P14)</f>
        <v>14.804780660139812</v>
      </c>
      <c r="R17" s="13"/>
      <c r="AF17" s="16">
        <f>AVERAGE(AF5:AF14)</f>
        <v>6.7191012001500183E-2</v>
      </c>
      <c r="AG17" s="16">
        <f>AVERAGE(AG5:AG14)</f>
        <v>7.7349339663211323</v>
      </c>
    </row>
    <row r="18" spans="1:33" x14ac:dyDescent="0.25">
      <c r="A18" s="13"/>
      <c r="R18" s="13"/>
    </row>
    <row r="19" spans="1:33" x14ac:dyDescent="0.25">
      <c r="A19" s="13"/>
      <c r="R19" s="13"/>
    </row>
    <row r="20" spans="1:33" x14ac:dyDescent="0.25">
      <c r="A20" s="13"/>
      <c r="R20" s="13"/>
    </row>
    <row r="21" spans="1:33" x14ac:dyDescent="0.25">
      <c r="A21" s="13"/>
      <c r="R21" s="13"/>
    </row>
    <row r="22" spans="1:33" x14ac:dyDescent="0.25">
      <c r="A22" s="13"/>
      <c r="R22" s="13"/>
    </row>
    <row r="23" spans="1:33" x14ac:dyDescent="0.25">
      <c r="A23" s="13"/>
      <c r="R23" s="13"/>
    </row>
    <row r="24" spans="1:33" x14ac:dyDescent="0.25">
      <c r="A24" s="13"/>
      <c r="R24" s="13"/>
    </row>
    <row r="25" spans="1:33" x14ac:dyDescent="0.25">
      <c r="A25" s="13"/>
      <c r="R25" s="13"/>
    </row>
    <row r="26" spans="1:33" x14ac:dyDescent="0.25">
      <c r="A26" s="13"/>
      <c r="R26" s="13"/>
    </row>
    <row r="27" spans="1:33" x14ac:dyDescent="0.25">
      <c r="A27" s="22"/>
    </row>
    <row r="28" spans="1:33" x14ac:dyDescent="0.25">
      <c r="A28" s="22"/>
    </row>
    <row r="29" spans="1:33" x14ac:dyDescent="0.25">
      <c r="A29" s="22"/>
    </row>
    <row r="30" spans="1:33" x14ac:dyDescent="0.25">
      <c r="A30" s="22"/>
    </row>
  </sheetData>
  <mergeCells count="2">
    <mergeCell ref="R3:AB3"/>
    <mergeCell ref="A3:K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Sheet1</vt:lpstr>
      <vt:lpstr>Chart2</vt:lpstr>
      <vt:lpstr>Chart1</vt:lpstr>
      <vt:lpstr>Drop_06264 </vt:lpstr>
      <vt:lpstr>Drop_06286</vt:lpstr>
    </vt:vector>
  </TitlesOfParts>
  <Company>Portland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Torres</dc:creator>
  <cp:lastModifiedBy>Logan Torres</cp:lastModifiedBy>
  <dcterms:created xsi:type="dcterms:W3CDTF">2016-08-02T19:06:21Z</dcterms:created>
  <dcterms:modified xsi:type="dcterms:W3CDTF">2017-09-19T20:18:02Z</dcterms:modified>
</cp:coreProperties>
</file>