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fs.mmm.com\defaultcollection\etfs\documentation\"/>
    </mc:Choice>
  </mc:AlternateContent>
  <bookViews>
    <workbookView xWindow="0" yWindow="0" windowWidth="18135" windowHeight="11160" firstSheet="5" activeTab="5"/>
  </bookViews>
  <sheets>
    <sheet name="Charge back" sheetId="1" r:id="rId1"/>
    <sheet name="2014" sheetId="5" r:id="rId2"/>
    <sheet name="DevOps Est." sheetId="6" r:id="rId3"/>
    <sheet name="ROI Calculations" sheetId="2" r:id="rId4"/>
    <sheet name="Est. User Counts" sheetId="3" r:id="rId5"/>
    <sheet name="Onboarding Schedule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4" l="1"/>
  <c r="N39" i="4"/>
  <c r="N28" i="4"/>
  <c r="J39" i="4"/>
  <c r="J38" i="4"/>
  <c r="M38" i="4" s="1"/>
  <c r="J37" i="4"/>
  <c r="M37" i="4" s="1"/>
  <c r="J36" i="4"/>
  <c r="J35" i="4"/>
  <c r="M35" i="4" s="1"/>
  <c r="J34" i="4"/>
  <c r="M34" i="4" s="1"/>
  <c r="N34" i="4" s="1"/>
  <c r="J33" i="4"/>
  <c r="J32" i="4"/>
  <c r="M32" i="4" s="1"/>
  <c r="N32" i="4" s="1"/>
  <c r="J31" i="4"/>
  <c r="J30" i="4"/>
  <c r="M30" i="4" s="1"/>
  <c r="J29" i="4"/>
  <c r="M29" i="4" s="1"/>
  <c r="J28" i="4"/>
  <c r="J27" i="4"/>
  <c r="J26" i="4"/>
  <c r="J25" i="4"/>
  <c r="N26" i="4"/>
  <c r="N27" i="4"/>
  <c r="N25" i="4"/>
  <c r="M33" i="4"/>
  <c r="N33" i="4" s="1"/>
  <c r="M36" i="4"/>
  <c r="M39" i="4"/>
  <c r="M28" i="4"/>
  <c r="B47" i="1"/>
  <c r="N36" i="4" l="1"/>
  <c r="N38" i="4"/>
  <c r="N37" i="4"/>
  <c r="N29" i="4"/>
  <c r="N35" i="4"/>
  <c r="N30" i="4"/>
  <c r="D8" i="6"/>
  <c r="D6" i="6"/>
  <c r="D5" i="6"/>
  <c r="D3" i="6"/>
  <c r="D2" i="6"/>
  <c r="D29" i="4" l="1"/>
  <c r="O9" i="1" l="1"/>
  <c r="O10" i="1"/>
  <c r="O11" i="1"/>
  <c r="O12" i="1"/>
  <c r="O13" i="1"/>
  <c r="O14" i="1"/>
  <c r="O15" i="1"/>
  <c r="O21" i="1"/>
  <c r="O22" i="1"/>
  <c r="M4" i="1"/>
  <c r="O4" i="1" s="1"/>
  <c r="M5" i="1"/>
  <c r="O5" i="1" s="1"/>
  <c r="M6" i="1"/>
  <c r="O6" i="1" s="1"/>
  <c r="M7" i="1"/>
  <c r="O7" i="1" s="1"/>
  <c r="M8" i="1"/>
  <c r="O8" i="1" s="1"/>
  <c r="M9" i="1"/>
  <c r="M10" i="1"/>
  <c r="M11" i="1"/>
  <c r="M12" i="1"/>
  <c r="M13" i="1"/>
  <c r="M14" i="1"/>
  <c r="M15" i="1"/>
  <c r="M16" i="1"/>
  <c r="O16" i="1" s="1"/>
  <c r="M17" i="1"/>
  <c r="O17" i="1" s="1"/>
  <c r="M18" i="1"/>
  <c r="O18" i="1" s="1"/>
  <c r="M19" i="1"/>
  <c r="O19" i="1" s="1"/>
  <c r="M20" i="1"/>
  <c r="O20" i="1" s="1"/>
  <c r="M21" i="1"/>
  <c r="M22" i="1"/>
  <c r="M3" i="1"/>
  <c r="O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3" i="5" l="1"/>
  <c r="B3" i="5"/>
  <c r="F3" i="5" s="1"/>
  <c r="C3" i="5" l="1"/>
  <c r="D3" i="5"/>
  <c r="E3" i="5"/>
  <c r="B12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9" i="2"/>
  <c r="C12" i="2" s="1"/>
  <c r="E8" i="2"/>
  <c r="C8" i="2"/>
  <c r="C5" i="2"/>
  <c r="I3" i="5" l="1"/>
  <c r="L8" i="1"/>
  <c r="L9" i="1"/>
  <c r="P9" i="1" s="1"/>
  <c r="L10" i="1"/>
  <c r="L11" i="1"/>
  <c r="L12" i="1"/>
  <c r="L13" i="1"/>
  <c r="L14" i="1"/>
  <c r="L15" i="1"/>
  <c r="L20" i="1"/>
  <c r="L21" i="1"/>
  <c r="L22" i="1"/>
  <c r="L3" i="1"/>
  <c r="E13" i="2"/>
  <c r="C7" i="2"/>
  <c r="E7" i="2" s="1"/>
  <c r="E5" i="2"/>
  <c r="E6" i="2"/>
  <c r="E4" i="2"/>
  <c r="L5" i="1" l="1"/>
  <c r="P5" i="1" s="1"/>
  <c r="L18" i="1"/>
  <c r="P18" i="1" s="1"/>
  <c r="L7" i="1"/>
  <c r="P7" i="1" s="1"/>
  <c r="L17" i="1"/>
  <c r="P17" i="1" s="1"/>
  <c r="L6" i="1"/>
  <c r="P6" i="1" s="1"/>
  <c r="L4" i="1"/>
  <c r="P4" i="1" s="1"/>
  <c r="L19" i="1"/>
  <c r="P19" i="1" s="1"/>
  <c r="L16" i="1"/>
  <c r="P16" i="1" s="1"/>
  <c r="E9" i="2"/>
  <c r="P14" i="1"/>
  <c r="P8" i="1"/>
  <c r="P3" i="1"/>
  <c r="P21" i="1"/>
  <c r="P20" i="1"/>
  <c r="P13" i="1"/>
  <c r="P11" i="1"/>
  <c r="P22" i="1"/>
  <c r="P10" i="1"/>
  <c r="P12" i="1"/>
  <c r="P15" i="1"/>
  <c r="E11" i="2"/>
</calcChain>
</file>

<file path=xl/sharedStrings.xml><?xml version="1.0" encoding="utf-8"?>
<sst xmlns="http://schemas.openxmlformats.org/spreadsheetml/2006/main" count="94" uniqueCount="85">
  <si>
    <t>ROI</t>
  </si>
  <si>
    <t>Ops</t>
  </si>
  <si>
    <t>Solutions</t>
  </si>
  <si>
    <t>Resources</t>
  </si>
  <si>
    <t>Cost</t>
  </si>
  <si>
    <t>Relationship Manager</t>
  </si>
  <si>
    <t>Monthly</t>
  </si>
  <si>
    <t>CALS</t>
  </si>
  <si>
    <t>Usage</t>
  </si>
  <si>
    <t>Productivity Gains</t>
  </si>
  <si>
    <t>For 100 Users and $24MM Budget</t>
  </si>
  <si>
    <t>Annual</t>
  </si>
  <si>
    <t>Assume 50% Loss of productivity during transition and training (2 months) - $2MM lost</t>
  </si>
  <si>
    <t>Productivity Loss</t>
  </si>
  <si>
    <t>Budget</t>
  </si>
  <si>
    <t>months</t>
  </si>
  <si>
    <t>(cost ammorphosized over 3 years)</t>
  </si>
  <si>
    <t>Gains</t>
  </si>
  <si>
    <t>monthly productivity gains</t>
  </si>
  <si>
    <t>Total Labor</t>
  </si>
  <si>
    <t>Infrastructure</t>
  </si>
  <si>
    <t>Number of Users</t>
  </si>
  <si>
    <t>Total Cost</t>
  </si>
  <si>
    <t>ROI Payback</t>
  </si>
  <si>
    <t>Investment</t>
  </si>
  <si>
    <t>Annual Charge per User</t>
  </si>
  <si>
    <t>Known Users of TFS within 3M</t>
  </si>
  <si>
    <t>HIS</t>
  </si>
  <si>
    <t>SEMS</t>
  </si>
  <si>
    <t>DOC</t>
  </si>
  <si>
    <t>Unitek</t>
  </si>
  <si>
    <t>IPD/FS</t>
  </si>
  <si>
    <t>IT</t>
  </si>
  <si>
    <t>SOSD</t>
  </si>
  <si>
    <t>Users</t>
  </si>
  <si>
    <t>Team Size</t>
  </si>
  <si>
    <t>Montly Cost/User</t>
  </si>
  <si>
    <t>Onboarding</t>
  </si>
  <si>
    <t>Task</t>
  </si>
  <si>
    <t>Initial Meeting</t>
  </si>
  <si>
    <t>Team Interview</t>
  </si>
  <si>
    <t>Training</t>
  </si>
  <si>
    <t>Migration</t>
  </si>
  <si>
    <t>Go Live</t>
  </si>
  <si>
    <t>Time (days)</t>
  </si>
  <si>
    <t>9 days (with concurrent tasks)</t>
  </si>
  <si>
    <t>Assumption:  10 days to onboard a new team</t>
  </si>
  <si>
    <t>Duration</t>
  </si>
  <si>
    <t>Resources Time Estimate (hours)</t>
  </si>
  <si>
    <t>Resource</t>
  </si>
  <si>
    <t>data migrations, customizations, service enhancements</t>
  </si>
  <si>
    <t>Solutions Team Work Breakdown</t>
  </si>
  <si>
    <t>60 hours of time for each team</t>
  </si>
  <si>
    <t>700 people to onboard from HIS</t>
  </si>
  <si>
    <t>estimate 10 people per team</t>
  </si>
  <si>
    <t>solutions hours needed for onboarding:  60 x 70 = 4200 hours</t>
  </si>
  <si>
    <t>Service Implementation</t>
  </si>
  <si>
    <t>Mike</t>
  </si>
  <si>
    <t>Don</t>
  </si>
  <si>
    <t>DevOps</t>
  </si>
  <si>
    <t>Logesh</t>
  </si>
  <si>
    <t>18 weeks</t>
  </si>
  <si>
    <t>Service Manager</t>
  </si>
  <si>
    <t>SEMS Development</t>
  </si>
  <si>
    <t>Escalation Tickets</t>
  </si>
  <si>
    <t>wkly hrs (est)</t>
  </si>
  <si>
    <t>Updates</t>
  </si>
  <si>
    <t>Upgrades</t>
  </si>
  <si>
    <t>quarterly</t>
  </si>
  <si>
    <t>annually</t>
  </si>
  <si>
    <t>New Functionality</t>
  </si>
  <si>
    <t>Budget:</t>
  </si>
  <si>
    <t>Ops+SM</t>
  </si>
  <si>
    <t>week</t>
  </si>
  <si>
    <t>date</t>
  </si>
  <si>
    <t>#User</t>
  </si>
  <si>
    <t>Est. Users</t>
  </si>
  <si>
    <t>Actual Users</t>
  </si>
  <si>
    <t>Total</t>
  </si>
  <si>
    <t>Break Even Point:</t>
  </si>
  <si>
    <t>145K operational cost</t>
  </si>
  <si>
    <t>Actual</t>
  </si>
  <si>
    <t>Op Cost</t>
  </si>
  <si>
    <t>Chargeback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</si>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</sst>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2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4" borderId="0" xfId="3"/>
    <xf numFmtId="9" fontId="2" fillId="4" borderId="0" xfId="3" applyNumberFormat="1"/>
    <xf numFmtId="164" fontId="1" fillId="2" borderId="0" xfId="1" applyNumberFormat="1"/>
    <xf numFmtId="0" fontId="3" fillId="4" borderId="0" xfId="3" applyFont="1"/>
    <xf numFmtId="9" fontId="3" fillId="4" borderId="0" xfId="3" applyNumberFormat="1" applyFont="1"/>
    <xf numFmtId="0" fontId="4" fillId="2" borderId="0" xfId="1" applyFont="1"/>
    <xf numFmtId="1" fontId="4" fillId="2" borderId="0" xfId="1" applyNumberFormat="1" applyFont="1"/>
    <xf numFmtId="0" fontId="5" fillId="0" borderId="0" xfId="0" applyFont="1"/>
    <xf numFmtId="0" fontId="2" fillId="3" borderId="0" xfId="2"/>
    <xf numFmtId="2" fontId="0" fillId="0" borderId="0" xfId="0" applyNumberFormat="1"/>
    <xf numFmtId="0" fontId="2" fillId="3" borderId="2" xfId="2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3" borderId="6" xfId="2" applyBorder="1" applyAlignment="1">
      <alignment horizontal="center"/>
    </xf>
    <xf numFmtId="0" fontId="2" fillId="3" borderId="6" xfId="2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/>
    </xf>
    <xf numFmtId="0" fontId="0" fillId="0" borderId="10" xfId="0" applyBorder="1"/>
    <xf numFmtId="0" fontId="2" fillId="3" borderId="2" xfId="2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/>
    <xf numFmtId="165" fontId="2" fillId="3" borderId="0" xfId="2" applyNumberFormat="1"/>
    <xf numFmtId="165" fontId="2" fillId="3" borderId="8" xfId="2" applyNumberFormat="1" applyBorder="1" applyAlignment="1">
      <alignment horizontal="center"/>
    </xf>
    <xf numFmtId="0" fontId="7" fillId="0" borderId="0" xfId="0" applyFont="1"/>
    <xf numFmtId="0" fontId="6" fillId="5" borderId="0" xfId="4" applyAlignment="1">
      <alignment horizontal="center" wrapText="1"/>
    </xf>
    <xf numFmtId="0" fontId="6" fillId="5" borderId="0" xfId="4" applyAlignment="1">
      <alignment horizontal="center"/>
    </xf>
    <xf numFmtId="3" fontId="2" fillId="3" borderId="1" xfId="2" applyNumberFormat="1" applyBorder="1" applyAlignment="1">
      <alignment horizontal="center"/>
    </xf>
    <xf numFmtId="3" fontId="0" fillId="0" borderId="0" xfId="0" applyNumberFormat="1"/>
    <xf numFmtId="3" fontId="2" fillId="3" borderId="7" xfId="2" applyNumberFormat="1" applyBorder="1" applyAlignment="1">
      <alignment horizontal="center"/>
    </xf>
    <xf numFmtId="3" fontId="2" fillId="3" borderId="0" xfId="2" applyNumberFormat="1"/>
    <xf numFmtId="3" fontId="2" fillId="3" borderId="9" xfId="2" applyNumberFormat="1" applyBorder="1" applyAlignment="1">
      <alignment horizontal="center"/>
    </xf>
    <xf numFmtId="3" fontId="0" fillId="0" borderId="3" xfId="0" applyNumberFormat="1" applyBorder="1"/>
    <xf numFmtId="2" fontId="2" fillId="3" borderId="0" xfId="2" applyNumberFormat="1" applyBorder="1" applyAlignment="1">
      <alignment horizontal="center"/>
    </xf>
    <xf numFmtId="2" fontId="2" fillId="3" borderId="8" xfId="2" applyNumberFormat="1" applyBorder="1" applyAlignment="1">
      <alignment horizontal="center" wrapText="1"/>
    </xf>
    <xf numFmtId="3" fontId="2" fillId="3" borderId="2" xfId="2" applyNumberFormat="1" applyBorder="1" applyAlignment="1">
      <alignment horizontal="center"/>
    </xf>
    <xf numFmtId="3" fontId="0" fillId="0" borderId="0" xfId="0" applyNumberFormat="1" applyBorder="1"/>
    <xf numFmtId="16" fontId="0" fillId="0" borderId="0" xfId="0" applyNumberForma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7" fontId="0" fillId="0" borderId="0" xfId="0" applyNumberFormat="1"/>
    <xf numFmtId="165" fontId="7" fillId="0" borderId="0" xfId="0" applyNumberFormat="1" applyFont="1"/>
    <xf numFmtId="0" fontId="2" fillId="3" borderId="1" xfId="2" applyBorder="1" applyAlignment="1">
      <alignment horizontal="center"/>
    </xf>
    <xf numFmtId="0" fontId="6" fillId="6" borderId="0" xfId="5" applyAlignment="1">
      <alignment horizontal="center"/>
    </xf>
    <xf numFmtId="0" fontId="0" fillId="0" borderId="0" xfId="0" applyAlignment="1">
      <alignment horizontal="center"/>
    </xf>
  </cellXfs>
  <cellStyles count="6">
    <cellStyle name="40% - Accent5" xfId="4" builtinId="47"/>
    <cellStyle name="40% - Accent6" xfId="5" builtinId="51"/>
    <cellStyle name="60% - Accent5" xfId="3" builtinId="48"/>
    <cellStyle name="Accent1" xfId="2" builtinId="29"/>
    <cellStyle name="Good" xfId="1" builtinId="2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Cost/User based on Total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'Charge back'!$I$2</c:f>
              <c:strCache>
                <c:ptCount val="1"/>
                <c:pt idx="0">
                  <c:v>Team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'Charge back'!$N$2:$N$23</c15:sqref>
                  </c15:fullRef>
                </c:ext>
              </c:extLst>
              <c:f>'Charge back'!$N$3:$N$23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back'!$I$3:$I$22</c15:sqref>
                  </c15:fullRef>
                </c:ext>
              </c:extLst>
              <c:f>'Charge back'!$I$4:$I$22</c:f>
              <c:numCache>
                <c:formatCode>0.00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02768"/>
        <c:axId val="237403944"/>
      </c:lineChart>
      <c:lineChart>
        <c:grouping val="standard"/>
        <c:varyColors val="0"/>
        <c:ser>
          <c:idx val="2"/>
          <c:order val="1"/>
          <c:tx>
            <c:strRef>
              <c:f>'Charge back'!$P$2</c:f>
              <c:strCache>
                <c:ptCount val="1"/>
                <c:pt idx="0">
                  <c:v>Montly Cost/User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back'!$P$3:$P$22</c15:sqref>
                  </c15:fullRef>
                </c:ext>
              </c:extLst>
              <c:f>'Charge back'!$P$4:$P$22</c:f>
              <c:numCache>
                <c:formatCode>"$"#,##0.00</c:formatCode>
                <c:ptCount val="19"/>
                <c:pt idx="0">
                  <c:v>59.583333333333336</c:v>
                </c:pt>
                <c:pt idx="1">
                  <c:v>39.722222222222221</c:v>
                </c:pt>
                <c:pt idx="2">
                  <c:v>29.791666666666668</c:v>
                </c:pt>
                <c:pt idx="3">
                  <c:v>23.833333333333332</c:v>
                </c:pt>
                <c:pt idx="4">
                  <c:v>19.861111111111111</c:v>
                </c:pt>
                <c:pt idx="5">
                  <c:v>17.023809523809522</c:v>
                </c:pt>
                <c:pt idx="6">
                  <c:v>14.895833333333334</c:v>
                </c:pt>
                <c:pt idx="7">
                  <c:v>13.24074074074074</c:v>
                </c:pt>
                <c:pt idx="8">
                  <c:v>11.916666666666666</c:v>
                </c:pt>
                <c:pt idx="9">
                  <c:v>10.833333333333334</c:v>
                </c:pt>
                <c:pt idx="10">
                  <c:v>9.9305555555555554</c:v>
                </c:pt>
                <c:pt idx="11">
                  <c:v>9.1666666666666661</c:v>
                </c:pt>
                <c:pt idx="12">
                  <c:v>8.511904761904761</c:v>
                </c:pt>
                <c:pt idx="13">
                  <c:v>7.9444444444444438</c:v>
                </c:pt>
                <c:pt idx="14">
                  <c:v>7.447916666666667</c:v>
                </c:pt>
                <c:pt idx="15">
                  <c:v>7.0098039215686283</c:v>
                </c:pt>
                <c:pt idx="16">
                  <c:v>6.6203703703703702</c:v>
                </c:pt>
                <c:pt idx="17">
                  <c:v>6.2719298245614032</c:v>
                </c:pt>
                <c:pt idx="18">
                  <c:v>5.958333333333333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05512"/>
        <c:axId val="237404336"/>
      </c:lineChart>
      <c:catAx>
        <c:axId val="237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3944"/>
        <c:crosses val="autoZero"/>
        <c:auto val="1"/>
        <c:lblAlgn val="ctr"/>
        <c:lblOffset val="100"/>
        <c:noMultiLvlLbl val="0"/>
      </c:catAx>
      <c:valAx>
        <c:axId val="2374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ETFS Team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2768"/>
        <c:crosses val="autoZero"/>
        <c:crossBetween val="between"/>
      </c:valAx>
      <c:valAx>
        <c:axId val="237404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5512"/>
        <c:crosses val="max"/>
        <c:crossBetween val="between"/>
      </c:valAx>
      <c:catAx>
        <c:axId val="237405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740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ETFS Onboarding of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'Onboarding Schedule'!$C$25</c:f>
              <c:strCache>
                <c:ptCount val="1"/>
                <c:pt idx="0">
                  <c:v>Est.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'Onboarding Schedule'!$B$26:$B$89</c:f>
              <c:numCache>
                <c:formatCode>d\-mmm</c:formatCode>
                <c:ptCount val="64"/>
                <c:pt idx="0">
                  <c:v>41925</c:v>
                </c:pt>
                <c:pt idx="1">
                  <c:v>41932</c:v>
                </c:pt>
                <c:pt idx="2">
                  <c:v>41939</c:v>
                </c:pt>
                <c:pt idx="3">
                  <c:v>41946</c:v>
                </c:pt>
                <c:pt idx="4">
                  <c:v>41953</c:v>
                </c:pt>
                <c:pt idx="5">
                  <c:v>41960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42009</c:v>
                </c:pt>
                <c:pt idx="13">
                  <c:v>42016</c:v>
                </c:pt>
                <c:pt idx="14">
                  <c:v>42023</c:v>
                </c:pt>
                <c:pt idx="15">
                  <c:v>42030</c:v>
                </c:pt>
                <c:pt idx="16">
                  <c:v>42037</c:v>
                </c:pt>
                <c:pt idx="17">
                  <c:v>42044</c:v>
                </c:pt>
                <c:pt idx="18">
                  <c:v>42051</c:v>
                </c:pt>
                <c:pt idx="19">
                  <c:v>42058</c:v>
                </c:pt>
                <c:pt idx="20">
                  <c:v>42065</c:v>
                </c:pt>
                <c:pt idx="21">
                  <c:v>42072</c:v>
                </c:pt>
                <c:pt idx="22">
                  <c:v>42079</c:v>
                </c:pt>
                <c:pt idx="23">
                  <c:v>42086</c:v>
                </c:pt>
                <c:pt idx="24">
                  <c:v>42093</c:v>
                </c:pt>
                <c:pt idx="25">
                  <c:v>42100</c:v>
                </c:pt>
                <c:pt idx="26">
                  <c:v>42107</c:v>
                </c:pt>
                <c:pt idx="27">
                  <c:v>42114</c:v>
                </c:pt>
                <c:pt idx="28">
                  <c:v>42121</c:v>
                </c:pt>
                <c:pt idx="29">
                  <c:v>42128</c:v>
                </c:pt>
                <c:pt idx="30">
                  <c:v>42135</c:v>
                </c:pt>
                <c:pt idx="31">
                  <c:v>42142</c:v>
                </c:pt>
                <c:pt idx="32">
                  <c:v>42149</c:v>
                </c:pt>
                <c:pt idx="33">
                  <c:v>42156</c:v>
                </c:pt>
                <c:pt idx="34">
                  <c:v>42163</c:v>
                </c:pt>
                <c:pt idx="35">
                  <c:v>42170</c:v>
                </c:pt>
                <c:pt idx="36">
                  <c:v>42177</c:v>
                </c:pt>
                <c:pt idx="37">
                  <c:v>42184</c:v>
                </c:pt>
                <c:pt idx="38">
                  <c:v>42191</c:v>
                </c:pt>
                <c:pt idx="39">
                  <c:v>42198</c:v>
                </c:pt>
                <c:pt idx="40">
                  <c:v>42205</c:v>
                </c:pt>
                <c:pt idx="41">
                  <c:v>42212</c:v>
                </c:pt>
                <c:pt idx="42">
                  <c:v>42219</c:v>
                </c:pt>
                <c:pt idx="43">
                  <c:v>42226</c:v>
                </c:pt>
                <c:pt idx="44">
                  <c:v>42233</c:v>
                </c:pt>
                <c:pt idx="45">
                  <c:v>42240</c:v>
                </c:pt>
                <c:pt idx="46">
                  <c:v>42247</c:v>
                </c:pt>
                <c:pt idx="47">
                  <c:v>42254</c:v>
                </c:pt>
                <c:pt idx="48">
                  <c:v>42261</c:v>
                </c:pt>
                <c:pt idx="49">
                  <c:v>42268</c:v>
                </c:pt>
                <c:pt idx="50">
                  <c:v>42275</c:v>
                </c:pt>
                <c:pt idx="51">
                  <c:v>42282</c:v>
                </c:pt>
                <c:pt idx="52">
                  <c:v>42289</c:v>
                </c:pt>
                <c:pt idx="53">
                  <c:v>42296</c:v>
                </c:pt>
                <c:pt idx="54">
                  <c:v>42303</c:v>
                </c:pt>
                <c:pt idx="55">
                  <c:v>42310</c:v>
                </c:pt>
                <c:pt idx="56">
                  <c:v>42317</c:v>
                </c:pt>
                <c:pt idx="57">
                  <c:v>42324</c:v>
                </c:pt>
                <c:pt idx="58">
                  <c:v>42331</c:v>
                </c:pt>
                <c:pt idx="59">
                  <c:v>42338</c:v>
                </c:pt>
                <c:pt idx="60">
                  <c:v>42345</c:v>
                </c:pt>
                <c:pt idx="61">
                  <c:v>42352</c:v>
                </c:pt>
                <c:pt idx="62">
                  <c:v>42359</c:v>
                </c:pt>
                <c:pt idx="63">
                  <c:v>42366</c:v>
                </c:pt>
              </c:numCache>
            </c:numRef>
          </c:cat>
          <c:val>
            <c:numRef>
              <c:f>'Onboarding Schedule'!$C$26:$C$89</c:f>
              <c:numCache>
                <c:formatCode>General</c:formatCode>
                <c:ptCount val="6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'Onboarding Schedule'!$D$25</c:f>
              <c:strCache>
                <c:ptCount val="1"/>
                <c:pt idx="0">
                  <c:v>Actual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'Onboarding Schedule'!$B$26:$B$89</c:f>
              <c:numCache>
                <c:formatCode>d\-mmm</c:formatCode>
                <c:ptCount val="64"/>
                <c:pt idx="0">
                  <c:v>41925</c:v>
                </c:pt>
                <c:pt idx="1">
                  <c:v>41932</c:v>
                </c:pt>
                <c:pt idx="2">
                  <c:v>41939</c:v>
                </c:pt>
                <c:pt idx="3">
                  <c:v>41946</c:v>
                </c:pt>
                <c:pt idx="4">
                  <c:v>41953</c:v>
                </c:pt>
                <c:pt idx="5">
                  <c:v>41960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42009</c:v>
                </c:pt>
                <c:pt idx="13">
                  <c:v>42016</c:v>
                </c:pt>
                <c:pt idx="14">
                  <c:v>42023</c:v>
                </c:pt>
                <c:pt idx="15">
                  <c:v>42030</c:v>
                </c:pt>
                <c:pt idx="16">
                  <c:v>42037</c:v>
                </c:pt>
                <c:pt idx="17">
                  <c:v>42044</c:v>
                </c:pt>
                <c:pt idx="18">
                  <c:v>42051</c:v>
                </c:pt>
                <c:pt idx="19">
                  <c:v>42058</c:v>
                </c:pt>
                <c:pt idx="20">
                  <c:v>42065</c:v>
                </c:pt>
                <c:pt idx="21">
                  <c:v>42072</c:v>
                </c:pt>
                <c:pt idx="22">
                  <c:v>42079</c:v>
                </c:pt>
                <c:pt idx="23">
                  <c:v>42086</c:v>
                </c:pt>
                <c:pt idx="24">
                  <c:v>42093</c:v>
                </c:pt>
                <c:pt idx="25">
                  <c:v>42100</c:v>
                </c:pt>
                <c:pt idx="26">
                  <c:v>42107</c:v>
                </c:pt>
                <c:pt idx="27">
                  <c:v>42114</c:v>
                </c:pt>
                <c:pt idx="28">
                  <c:v>42121</c:v>
                </c:pt>
                <c:pt idx="29">
                  <c:v>42128</c:v>
                </c:pt>
                <c:pt idx="30">
                  <c:v>42135</c:v>
                </c:pt>
                <c:pt idx="31">
                  <c:v>42142</c:v>
                </c:pt>
                <c:pt idx="32">
                  <c:v>42149</c:v>
                </c:pt>
                <c:pt idx="33">
                  <c:v>42156</c:v>
                </c:pt>
                <c:pt idx="34">
                  <c:v>42163</c:v>
                </c:pt>
                <c:pt idx="35">
                  <c:v>42170</c:v>
                </c:pt>
                <c:pt idx="36">
                  <c:v>42177</c:v>
                </c:pt>
                <c:pt idx="37">
                  <c:v>42184</c:v>
                </c:pt>
                <c:pt idx="38">
                  <c:v>42191</c:v>
                </c:pt>
                <c:pt idx="39">
                  <c:v>42198</c:v>
                </c:pt>
                <c:pt idx="40">
                  <c:v>42205</c:v>
                </c:pt>
                <c:pt idx="41">
                  <c:v>42212</c:v>
                </c:pt>
                <c:pt idx="42">
                  <c:v>42219</c:v>
                </c:pt>
                <c:pt idx="43">
                  <c:v>42226</c:v>
                </c:pt>
                <c:pt idx="44">
                  <c:v>42233</c:v>
                </c:pt>
                <c:pt idx="45">
                  <c:v>42240</c:v>
                </c:pt>
                <c:pt idx="46">
                  <c:v>42247</c:v>
                </c:pt>
                <c:pt idx="47">
                  <c:v>42254</c:v>
                </c:pt>
                <c:pt idx="48">
                  <c:v>42261</c:v>
                </c:pt>
                <c:pt idx="49">
                  <c:v>42268</c:v>
                </c:pt>
                <c:pt idx="50">
                  <c:v>42275</c:v>
                </c:pt>
                <c:pt idx="51">
                  <c:v>42282</c:v>
                </c:pt>
                <c:pt idx="52">
                  <c:v>42289</c:v>
                </c:pt>
                <c:pt idx="53">
                  <c:v>42296</c:v>
                </c:pt>
                <c:pt idx="54">
                  <c:v>42303</c:v>
                </c:pt>
                <c:pt idx="55">
                  <c:v>42310</c:v>
                </c:pt>
                <c:pt idx="56">
                  <c:v>42317</c:v>
                </c:pt>
                <c:pt idx="57">
                  <c:v>42324</c:v>
                </c:pt>
                <c:pt idx="58">
                  <c:v>42331</c:v>
                </c:pt>
                <c:pt idx="59">
                  <c:v>42338</c:v>
                </c:pt>
                <c:pt idx="60">
                  <c:v>42345</c:v>
                </c:pt>
                <c:pt idx="61">
                  <c:v>42352</c:v>
                </c:pt>
                <c:pt idx="62">
                  <c:v>42359</c:v>
                </c:pt>
                <c:pt idx="63">
                  <c:v>42366</c:v>
                </c:pt>
              </c:numCache>
            </c:numRef>
          </c:cat>
          <c:val>
            <c:numRef>
              <c:f>'Onboarding Schedule'!$D$26:$D$89</c:f>
              <c:numCache>
                <c:formatCode>General</c:formatCode>
                <c:ptCount val="64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220</c:v>
                </c:pt>
                <c:pt idx="16">
                  <c:v>220</c:v>
                </c:pt>
                <c:pt idx="17">
                  <c:v>265</c:v>
                </c:pt>
                <c:pt idx="18">
                  <c:v>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08648"/>
        <c:axId val="237407864"/>
      </c:lineChart>
      <c:dateAx>
        <c:axId val="237408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7864"/>
        <c:crosses val="autoZero"/>
        <c:auto val="1"/>
        <c:lblOffset val="100"/>
        <c:baseTimeUnit val="days"/>
      </c:dateAx>
      <c:valAx>
        <c:axId val="2374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Cost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'Onboarding Schedule'!$J$24</c:f>
              <c:strCache>
                <c:ptCount val="1"/>
                <c:pt idx="0">
                  <c:v>Est.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'Onboarding Schedule'!$I$25:$I$39</c:f>
              <c:numCache>
                <c:formatCode>mmm\-yy</c:formatCode>
                <c:ptCount val="1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</c:numCache>
            </c:numRef>
          </c:cat>
          <c:val>
            <c:numRef>
              <c:f>'Onboarding Schedule'!$J$25:$J$39</c:f>
              <c:numCache>
                <c:formatCode>General</c:formatCode>
                <c:ptCount val="15"/>
                <c:pt idx="0">
                  <c:v>40</c:v>
                </c:pt>
                <c:pt idx="1">
                  <c:v>120</c:v>
                </c:pt>
                <c:pt idx="2">
                  <c:v>220</c:v>
                </c:pt>
                <c:pt idx="3">
                  <c:v>300</c:v>
                </c:pt>
                <c:pt idx="4">
                  <c:v>380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740</c:v>
                </c:pt>
                <c:pt idx="9">
                  <c:v>820</c:v>
                </c:pt>
                <c:pt idx="10">
                  <c:v>920</c:v>
                </c:pt>
                <c:pt idx="11">
                  <c:v>1000</c:v>
                </c:pt>
                <c:pt idx="12">
                  <c:v>1080</c:v>
                </c:pt>
                <c:pt idx="13">
                  <c:v>1180</c:v>
                </c:pt>
                <c:pt idx="14">
                  <c:v>1260</c:v>
                </c:pt>
              </c:numCache>
            </c:numRef>
          </c:val>
        </c:ser>
        <c:ser>
          <c:idx val="1"/>
          <c:order val="1"/>
          <c:tx>
            <c:strRef>
              <c:f>'Onboarding Schedule'!$K$24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'Onboarding Schedule'!$I$25:$I$39</c:f>
              <c:numCache>
                <c:formatCode>mmm\-yy</c:formatCode>
                <c:ptCount val="1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</c:numCache>
            </c:numRef>
          </c:cat>
          <c:val>
            <c:numRef>
              <c:f>'Onboarding Schedule'!$K$25:$K$39</c:f>
              <c:numCache>
                <c:formatCode>General</c:formatCode>
                <c:ptCount val="15"/>
                <c:pt idx="0">
                  <c:v>22</c:v>
                </c:pt>
                <c:pt idx="1">
                  <c:v>76</c:v>
                </c:pt>
                <c:pt idx="2">
                  <c:v>76</c:v>
                </c:pt>
                <c:pt idx="3">
                  <c:v>220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  <c:pt idx="10">
                  <c:v>282</c:v>
                </c:pt>
                <c:pt idx="11">
                  <c:v>282</c:v>
                </c:pt>
                <c:pt idx="12">
                  <c:v>282</c:v>
                </c:pt>
                <c:pt idx="13">
                  <c:v>282</c:v>
                </c:pt>
                <c:pt idx="14">
                  <c:v>282</c:v>
                </c:pt>
              </c:numCache>
            </c:numRef>
          </c:val>
        </c:ser>
        <c:ser>
          <c:idx val="2"/>
          <c:order val="2"/>
          <c:tx>
            <c:strRef>
              <c:f>'Onboarding Schedule'!$L$24</c:f>
              <c:strCache>
                <c:ptCount val="1"/>
                <c:pt idx="0">
                  <c:v>Op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'Onboarding Schedule'!$I$25:$I$39</c:f>
              <c:numCache>
                <c:formatCode>mmm\-yy</c:formatCode>
                <c:ptCount val="1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</c:numCache>
            </c:numRef>
          </c:cat>
          <c:val>
            <c:numRef>
              <c:f>'Onboarding Schedule'!$L$25:$L$39</c:f>
              <c:numCache>
                <c:formatCode>"$"#,##0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</c:numCache>
            </c:numRef>
          </c:val>
        </c:ser>
        <c:ser>
          <c:idx val="3"/>
          <c:order val="3"/>
          <c:tx>
            <c:strRef>
              <c:f>'Onboarding Schedule'!$M$24</c:f>
              <c:strCache>
                <c:ptCount val="1"/>
                <c:pt idx="0">
                  <c:v>Chargeback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'Onboarding Schedule'!$I$25:$I$39</c:f>
              <c:numCache>
                <c:formatCode>mmm\-yy</c:formatCode>
                <c:ptCount val="1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</c:numCache>
            </c:numRef>
          </c:cat>
          <c:val>
            <c:numRef>
              <c:f>'Onboarding Schedule'!$M$25:$M$39</c:f>
              <c:numCache>
                <c:formatCode>"$"#,##0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2200</c:v>
                </c:pt>
                <c:pt idx="4">
                  <c:v>3800</c:v>
                </c:pt>
                <c:pt idx="5">
                  <c:v>4800</c:v>
                </c:pt>
                <c:pt idx="6">
                  <c:v>4380</c:v>
                </c:pt>
                <c:pt idx="7">
                  <c:v>6400</c:v>
                </c:pt>
                <c:pt idx="8">
                  <c:v>7400</c:v>
                </c:pt>
                <c:pt idx="9">
                  <c:v>8200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11800</c:v>
                </c:pt>
                <c:pt idx="14">
                  <c:v>12600</c:v>
                </c:pt>
              </c:numCache>
            </c:numRef>
          </c:val>
        </c:ser>
        <c:ser>
          <c:idx val="4"/>
          <c:order val="4"/>
          <c:tx>
            <c:strRef>
              <c:f>'Onboarding Schedule'!$N$24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'Onboarding Schedule'!$I$25:$I$39</c:f>
              <c:numCache>
                <c:formatCode>mmm\-yy</c:formatCode>
                <c:ptCount val="1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</c:numCache>
            </c:numRef>
          </c:cat>
          <c:val>
            <c:numRef>
              <c:f>'Onboarding Schedule'!$N$25:$N$39</c:f>
              <c:numCache>
                <c:formatCode>"$"#,##0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2200</c:v>
                </c:pt>
                <c:pt idx="4">
                  <c:v>3800</c:v>
                </c:pt>
                <c:pt idx="5">
                  <c:v>4800</c:v>
                </c:pt>
                <c:pt idx="6">
                  <c:v>4380</c:v>
                </c:pt>
                <c:pt idx="7">
                  <c:v>6400</c:v>
                </c:pt>
                <c:pt idx="8">
                  <c:v>4400</c:v>
                </c:pt>
                <c:pt idx="9">
                  <c:v>5200</c:v>
                </c:pt>
                <c:pt idx="10">
                  <c:v>6200</c:v>
                </c:pt>
                <c:pt idx="11">
                  <c:v>7000</c:v>
                </c:pt>
                <c:pt idx="12">
                  <c:v>7800</c:v>
                </c:pt>
                <c:pt idx="13">
                  <c:v>8800</c:v>
                </c:pt>
                <c:pt idx="14">
                  <c:v>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406296"/>
        <c:axId val="237408256"/>
      </c:barChart>
      <c:dateAx>
        <c:axId val="237406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8256"/>
        <c:crosses val="autoZero"/>
        <c:auto val="1"/>
        <c:lblOffset val="100"/>
        <c:baseTimeUnit val="months"/>
      </c:dateAx>
      <c:valAx>
        <c:axId val="2374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22</xdr:row>
      <xdr:rowOff>176211</xdr:rowOff>
    </xdr:from>
    <xdr:to>
      <xdr:col>10</xdr:col>
      <xdr:colOff>619125</xdr:colOff>
      <xdr:row>39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285748</xdr:colOff>
      <xdr:row>25</xdr:row>
      <xdr:rowOff>180975</xdr:rowOff>
    </xdr:from>
    <xdr:to>
      <xdr:col>7</xdr:col>
      <xdr:colOff>1133475</xdr:colOff>
      <xdr:row>38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147637</xdr:rowOff>
    </xdr:from>
    <xdr:to>
      <xdr:col>22</xdr:col>
      <xdr:colOff>247650</xdr:colOff>
      <xdr:row>38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totalsRowCount="1" headerRowDxfId="9" dataDxfId="8">
  <autoFilter ref="A1:D5"/>
  <tableColumns count="4">
    <tableColumn id="1" name="SEMS Development" totalsRowLabel="Total" dataDxfId="7" totalsRowDxfId="6"/>
    <tableColumn id="4" name="wkly hrs (est)" dataDxfId="5" totalsRowDxfId="4"/>
    <tableColumn id="5" name="quarterly" dataDxfId="3" totalsRowDxfId="2"/>
    <tableColumn id="6" name="annually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workbookViewId="0">
      <selection activeCell="G9" sqref="G9"/>
    </sheetView>
  </sheetViews>
  <sheetFormatPr defaultRowHeight="15" x14ac:dyDescent="0.25"/>
  <cols>
    <col min="2" max="2" width="13" customWidth="1"/>
    <col min="3" max="3" width="13" style="33" customWidth="1"/>
    <col min="4" max="4" width="16.85546875" customWidth="1"/>
    <col min="5" max="5" width="11.140625" style="33" bestFit="1" customWidth="1"/>
    <col min="6" max="6" width="14" customWidth="1"/>
    <col min="7" max="7" width="11.140625" style="33" bestFit="1" customWidth="1"/>
    <col min="8" max="8" width="13.7109375" style="33" customWidth="1"/>
    <col min="9" max="9" width="13.7109375" style="15" customWidth="1"/>
    <col min="10" max="10" width="16.140625" style="26" customWidth="1"/>
    <col min="11" max="11" width="17.7109375" customWidth="1"/>
    <col min="12" max="13" width="12.42578125" style="33" customWidth="1"/>
    <col min="14" max="14" width="14.85546875" customWidth="1"/>
    <col min="15" max="15" width="15.7109375" customWidth="1"/>
    <col min="16" max="16" width="13.7109375" customWidth="1"/>
  </cols>
  <sheetData>
    <row r="1" spans="2:17" x14ac:dyDescent="0.25">
      <c r="B1" s="48" t="s">
        <v>3</v>
      </c>
      <c r="C1" s="48"/>
      <c r="D1" s="48"/>
      <c r="E1" s="48"/>
      <c r="F1" s="48"/>
      <c r="G1" s="48"/>
      <c r="H1" s="48"/>
      <c r="I1" s="38"/>
      <c r="J1" s="27"/>
      <c r="K1" s="14"/>
      <c r="L1" s="35"/>
      <c r="M1" s="35"/>
      <c r="N1" s="14"/>
      <c r="O1" s="14"/>
      <c r="P1" s="14"/>
    </row>
    <row r="2" spans="2:17" s="1" customFormat="1" ht="30" x14ac:dyDescent="0.25">
      <c r="B2" s="19" t="s">
        <v>1</v>
      </c>
      <c r="C2" s="32" t="s">
        <v>4</v>
      </c>
      <c r="D2" s="22" t="s">
        <v>59</v>
      </c>
      <c r="E2" s="32" t="s">
        <v>4</v>
      </c>
      <c r="F2" s="21" t="s">
        <v>62</v>
      </c>
      <c r="G2" s="34"/>
      <c r="H2" s="32" t="s">
        <v>19</v>
      </c>
      <c r="I2" s="39" t="s">
        <v>35</v>
      </c>
      <c r="J2" s="28" t="s">
        <v>20</v>
      </c>
      <c r="K2" s="24" t="s">
        <v>24</v>
      </c>
      <c r="L2" s="36" t="s">
        <v>22</v>
      </c>
      <c r="M2" s="40" t="s">
        <v>72</v>
      </c>
      <c r="N2" s="16" t="s">
        <v>21</v>
      </c>
      <c r="O2" s="20" t="s">
        <v>25</v>
      </c>
      <c r="P2" s="21" t="s">
        <v>36</v>
      </c>
    </row>
    <row r="3" spans="2:17" x14ac:dyDescent="0.25">
      <c r="B3">
        <v>1</v>
      </c>
      <c r="C3" s="33">
        <v>90000</v>
      </c>
      <c r="D3" s="15">
        <v>1</v>
      </c>
      <c r="E3" s="33">
        <v>150000</v>
      </c>
      <c r="F3">
        <v>1</v>
      </c>
      <c r="G3" s="33">
        <v>200000</v>
      </c>
      <c r="H3" s="33">
        <f>B3*C3+D3*E3+F3*G3</f>
        <v>440000</v>
      </c>
      <c r="I3" s="15">
        <f>B3+D3+F3</f>
        <v>3</v>
      </c>
      <c r="J3" s="26">
        <v>3000</v>
      </c>
      <c r="K3" s="4">
        <v>0</v>
      </c>
      <c r="L3" s="37">
        <f>H3+J3+K3</f>
        <v>443000</v>
      </c>
      <c r="M3" s="41">
        <f>C3+G3*0.25+J3</f>
        <v>143000</v>
      </c>
      <c r="N3" s="17">
        <v>100</v>
      </c>
      <c r="O3" s="5">
        <f>M3/N3</f>
        <v>1430</v>
      </c>
      <c r="P3" s="5">
        <f>O3/12</f>
        <v>119.16666666666667</v>
      </c>
    </row>
    <row r="4" spans="2:17" x14ac:dyDescent="0.25">
      <c r="B4">
        <v>1</v>
      </c>
      <c r="C4" s="33">
        <v>90000</v>
      </c>
      <c r="D4" s="15">
        <v>1</v>
      </c>
      <c r="E4" s="33">
        <v>150000</v>
      </c>
      <c r="F4">
        <v>1</v>
      </c>
      <c r="G4" s="33">
        <v>200000</v>
      </c>
      <c r="H4" s="33">
        <f t="shared" ref="H4:H22" si="0">B4*C4+D4*E4+F4*G4</f>
        <v>440000</v>
      </c>
      <c r="I4" s="15">
        <f t="shared" ref="I4:I22" si="1">B4+D4+F4</f>
        <v>3</v>
      </c>
      <c r="J4" s="26">
        <v>3000</v>
      </c>
      <c r="K4" s="4">
        <v>0</v>
      </c>
      <c r="L4" s="37">
        <f t="shared" ref="L4:L22" si="2">H4+J4+K4</f>
        <v>443000</v>
      </c>
      <c r="M4" s="41">
        <f t="shared" ref="M4:M22" si="3">C4+G4*0.25+J4</f>
        <v>143000</v>
      </c>
      <c r="N4" s="18">
        <v>200</v>
      </c>
      <c r="O4" s="5">
        <f t="shared" ref="O4:O22" si="4">M4/N4</f>
        <v>715</v>
      </c>
      <c r="P4" s="5">
        <f t="shared" ref="P4:P22" si="5">O4/12</f>
        <v>59.583333333333336</v>
      </c>
    </row>
    <row r="5" spans="2:17" x14ac:dyDescent="0.25">
      <c r="B5">
        <v>1</v>
      </c>
      <c r="C5" s="33">
        <v>90000</v>
      </c>
      <c r="D5" s="15">
        <v>1</v>
      </c>
      <c r="E5" s="33">
        <v>150000</v>
      </c>
      <c r="F5">
        <v>1</v>
      </c>
      <c r="G5" s="33">
        <v>200000</v>
      </c>
      <c r="H5" s="33">
        <f t="shared" si="0"/>
        <v>440000</v>
      </c>
      <c r="I5" s="15">
        <f t="shared" si="1"/>
        <v>3</v>
      </c>
      <c r="J5" s="26">
        <v>3000</v>
      </c>
      <c r="K5" s="4">
        <v>0</v>
      </c>
      <c r="L5" s="37">
        <f t="shared" si="2"/>
        <v>443000</v>
      </c>
      <c r="M5" s="41">
        <f t="shared" si="3"/>
        <v>143000</v>
      </c>
      <c r="N5">
        <v>300</v>
      </c>
      <c r="O5" s="5">
        <f t="shared" si="4"/>
        <v>476.66666666666669</v>
      </c>
      <c r="P5" s="5">
        <f t="shared" si="5"/>
        <v>39.722222222222221</v>
      </c>
      <c r="Q5" s="23"/>
    </row>
    <row r="6" spans="2:17" x14ac:dyDescent="0.25">
      <c r="B6">
        <v>1</v>
      </c>
      <c r="C6" s="33">
        <v>90000</v>
      </c>
      <c r="D6" s="15">
        <v>1</v>
      </c>
      <c r="E6" s="33">
        <v>150000</v>
      </c>
      <c r="F6">
        <v>1</v>
      </c>
      <c r="G6" s="33">
        <v>200000</v>
      </c>
      <c r="H6" s="33">
        <f t="shared" si="0"/>
        <v>440000</v>
      </c>
      <c r="I6" s="15">
        <f t="shared" si="1"/>
        <v>3</v>
      </c>
      <c r="J6" s="26">
        <v>3000</v>
      </c>
      <c r="K6" s="25">
        <v>0</v>
      </c>
      <c r="L6" s="37">
        <f t="shared" si="2"/>
        <v>443000</v>
      </c>
      <c r="M6" s="41">
        <f t="shared" si="3"/>
        <v>143000</v>
      </c>
      <c r="N6">
        <v>400</v>
      </c>
      <c r="O6" s="5">
        <f t="shared" si="4"/>
        <v>357.5</v>
      </c>
      <c r="P6" s="5">
        <f t="shared" si="5"/>
        <v>29.791666666666668</v>
      </c>
      <c r="Q6" s="23"/>
    </row>
    <row r="7" spans="2:17" x14ac:dyDescent="0.25">
      <c r="B7">
        <v>1</v>
      </c>
      <c r="C7" s="33">
        <v>90000</v>
      </c>
      <c r="D7" s="15">
        <v>1</v>
      </c>
      <c r="E7" s="33">
        <v>150000</v>
      </c>
      <c r="F7">
        <v>1</v>
      </c>
      <c r="G7" s="33">
        <v>200000</v>
      </c>
      <c r="H7" s="33">
        <f t="shared" si="0"/>
        <v>440000</v>
      </c>
      <c r="I7" s="15">
        <f t="shared" si="1"/>
        <v>3</v>
      </c>
      <c r="J7" s="26">
        <v>3000</v>
      </c>
      <c r="K7" s="25">
        <v>0</v>
      </c>
      <c r="L7" s="37">
        <f t="shared" si="2"/>
        <v>443000</v>
      </c>
      <c r="M7" s="41">
        <f t="shared" si="3"/>
        <v>143000</v>
      </c>
      <c r="N7">
        <v>500</v>
      </c>
      <c r="O7" s="5">
        <f t="shared" si="4"/>
        <v>286</v>
      </c>
      <c r="P7" s="5">
        <f t="shared" si="5"/>
        <v>23.833333333333332</v>
      </c>
    </row>
    <row r="8" spans="2:17" x14ac:dyDescent="0.25">
      <c r="B8">
        <v>1</v>
      </c>
      <c r="C8" s="33">
        <v>90000</v>
      </c>
      <c r="D8" s="15">
        <v>1</v>
      </c>
      <c r="E8" s="33">
        <v>150000</v>
      </c>
      <c r="F8">
        <v>1</v>
      </c>
      <c r="G8" s="33">
        <v>200000</v>
      </c>
      <c r="H8" s="33">
        <f t="shared" si="0"/>
        <v>440000</v>
      </c>
      <c r="I8" s="15">
        <f t="shared" si="1"/>
        <v>3</v>
      </c>
      <c r="J8" s="26">
        <v>3000</v>
      </c>
      <c r="K8" s="25">
        <v>0</v>
      </c>
      <c r="L8" s="37">
        <f t="shared" si="2"/>
        <v>443000</v>
      </c>
      <c r="M8" s="41">
        <f t="shared" si="3"/>
        <v>143000</v>
      </c>
      <c r="N8">
        <v>600</v>
      </c>
      <c r="O8" s="5">
        <f t="shared" si="4"/>
        <v>238.33333333333334</v>
      </c>
      <c r="P8" s="5">
        <f t="shared" si="5"/>
        <v>19.861111111111111</v>
      </c>
    </row>
    <row r="9" spans="2:17" x14ac:dyDescent="0.25">
      <c r="B9">
        <v>1</v>
      </c>
      <c r="C9" s="33">
        <v>90000</v>
      </c>
      <c r="D9" s="15">
        <v>1</v>
      </c>
      <c r="E9" s="33">
        <v>150000</v>
      </c>
      <c r="F9">
        <v>1</v>
      </c>
      <c r="G9" s="33">
        <v>200000</v>
      </c>
      <c r="H9" s="33">
        <f t="shared" si="0"/>
        <v>440000</v>
      </c>
      <c r="I9" s="15">
        <f t="shared" si="1"/>
        <v>3</v>
      </c>
      <c r="J9" s="26">
        <v>3000</v>
      </c>
      <c r="K9" s="25">
        <v>0</v>
      </c>
      <c r="L9" s="37">
        <f t="shared" si="2"/>
        <v>443000</v>
      </c>
      <c r="M9" s="41">
        <f t="shared" si="3"/>
        <v>143000</v>
      </c>
      <c r="N9">
        <v>700</v>
      </c>
      <c r="O9" s="5">
        <f t="shared" si="4"/>
        <v>204.28571428571428</v>
      </c>
      <c r="P9" s="5">
        <f t="shared" si="5"/>
        <v>17.023809523809522</v>
      </c>
    </row>
    <row r="10" spans="2:17" x14ac:dyDescent="0.25">
      <c r="B10">
        <v>1</v>
      </c>
      <c r="C10" s="33">
        <v>90000</v>
      </c>
      <c r="D10" s="15">
        <v>1</v>
      </c>
      <c r="E10" s="33">
        <v>150000</v>
      </c>
      <c r="F10">
        <v>1</v>
      </c>
      <c r="G10" s="33">
        <v>200000</v>
      </c>
      <c r="H10" s="33">
        <f t="shared" si="0"/>
        <v>440000</v>
      </c>
      <c r="I10" s="15">
        <f t="shared" si="1"/>
        <v>3</v>
      </c>
      <c r="J10" s="26">
        <v>3000</v>
      </c>
      <c r="K10" s="25">
        <v>0</v>
      </c>
      <c r="L10" s="37">
        <f t="shared" si="2"/>
        <v>443000</v>
      </c>
      <c r="M10" s="41">
        <f t="shared" si="3"/>
        <v>143000</v>
      </c>
      <c r="N10">
        <v>800</v>
      </c>
      <c r="O10" s="5">
        <f t="shared" si="4"/>
        <v>178.75</v>
      </c>
      <c r="P10" s="5">
        <f t="shared" si="5"/>
        <v>14.895833333333334</v>
      </c>
    </row>
    <row r="11" spans="2:17" x14ac:dyDescent="0.25">
      <c r="B11">
        <v>1</v>
      </c>
      <c r="C11" s="33">
        <v>90000</v>
      </c>
      <c r="D11" s="15">
        <v>1</v>
      </c>
      <c r="E11" s="33">
        <v>150000</v>
      </c>
      <c r="F11">
        <v>1</v>
      </c>
      <c r="G11" s="33">
        <v>200000</v>
      </c>
      <c r="H11" s="33">
        <f t="shared" si="0"/>
        <v>440000</v>
      </c>
      <c r="I11" s="15">
        <f t="shared" si="1"/>
        <v>3</v>
      </c>
      <c r="J11" s="26">
        <v>3000</v>
      </c>
      <c r="K11" s="25">
        <v>0</v>
      </c>
      <c r="L11" s="37">
        <f t="shared" si="2"/>
        <v>443000</v>
      </c>
      <c r="M11" s="41">
        <f t="shared" si="3"/>
        <v>143000</v>
      </c>
      <c r="N11">
        <v>900</v>
      </c>
      <c r="O11" s="5">
        <f t="shared" si="4"/>
        <v>158.88888888888889</v>
      </c>
      <c r="P11" s="5">
        <f t="shared" si="5"/>
        <v>13.24074074074074</v>
      </c>
    </row>
    <row r="12" spans="2:17" x14ac:dyDescent="0.25">
      <c r="B12">
        <v>1</v>
      </c>
      <c r="C12" s="33">
        <v>90000</v>
      </c>
      <c r="D12" s="15">
        <v>1</v>
      </c>
      <c r="E12" s="33">
        <v>150000</v>
      </c>
      <c r="F12">
        <v>1</v>
      </c>
      <c r="G12" s="33">
        <v>200000</v>
      </c>
      <c r="H12" s="33">
        <f t="shared" si="0"/>
        <v>440000</v>
      </c>
      <c r="I12" s="15">
        <f t="shared" si="1"/>
        <v>3</v>
      </c>
      <c r="J12" s="26">
        <v>3000</v>
      </c>
      <c r="K12" s="25">
        <v>0</v>
      </c>
      <c r="L12" s="37">
        <f t="shared" si="2"/>
        <v>443000</v>
      </c>
      <c r="M12" s="41">
        <f t="shared" si="3"/>
        <v>143000</v>
      </c>
      <c r="N12">
        <v>1000</v>
      </c>
      <c r="O12" s="5">
        <f t="shared" si="4"/>
        <v>143</v>
      </c>
      <c r="P12" s="5">
        <f t="shared" si="5"/>
        <v>11.916666666666666</v>
      </c>
    </row>
    <row r="13" spans="2:17" x14ac:dyDescent="0.25">
      <c r="B13">
        <v>1</v>
      </c>
      <c r="C13" s="33">
        <v>90000</v>
      </c>
      <c r="D13" s="15">
        <v>1</v>
      </c>
      <c r="E13" s="33">
        <v>150000</v>
      </c>
      <c r="F13">
        <v>1</v>
      </c>
      <c r="G13" s="33">
        <v>200000</v>
      </c>
      <c r="H13" s="33">
        <f t="shared" si="0"/>
        <v>440000</v>
      </c>
      <c r="I13" s="15">
        <f t="shared" si="1"/>
        <v>3</v>
      </c>
      <c r="J13" s="26">
        <v>3000</v>
      </c>
      <c r="K13" s="25">
        <v>0</v>
      </c>
      <c r="L13" s="37">
        <f t="shared" si="2"/>
        <v>443000</v>
      </c>
      <c r="M13" s="41">
        <f t="shared" si="3"/>
        <v>143000</v>
      </c>
      <c r="N13">
        <v>1100</v>
      </c>
      <c r="O13" s="5">
        <f t="shared" si="4"/>
        <v>130</v>
      </c>
      <c r="P13" s="5">
        <f t="shared" si="5"/>
        <v>10.833333333333334</v>
      </c>
    </row>
    <row r="14" spans="2:17" x14ac:dyDescent="0.25">
      <c r="B14">
        <v>1</v>
      </c>
      <c r="C14" s="33">
        <v>90000</v>
      </c>
      <c r="D14" s="15">
        <v>1</v>
      </c>
      <c r="E14" s="33">
        <v>150000</v>
      </c>
      <c r="F14">
        <v>1</v>
      </c>
      <c r="G14" s="33">
        <v>200000</v>
      </c>
      <c r="H14" s="33">
        <f t="shared" si="0"/>
        <v>440000</v>
      </c>
      <c r="I14" s="15">
        <f t="shared" si="1"/>
        <v>3</v>
      </c>
      <c r="J14" s="26">
        <v>3000</v>
      </c>
      <c r="K14" s="25">
        <v>0</v>
      </c>
      <c r="L14" s="37">
        <f t="shared" si="2"/>
        <v>443000</v>
      </c>
      <c r="M14" s="41">
        <f t="shared" si="3"/>
        <v>143000</v>
      </c>
      <c r="N14">
        <v>1200</v>
      </c>
      <c r="O14" s="5">
        <f t="shared" si="4"/>
        <v>119.16666666666667</v>
      </c>
      <c r="P14" s="5">
        <f t="shared" si="5"/>
        <v>9.9305555555555554</v>
      </c>
    </row>
    <row r="15" spans="2:17" x14ac:dyDescent="0.25">
      <c r="B15">
        <v>1</v>
      </c>
      <c r="C15" s="33">
        <v>90000</v>
      </c>
      <c r="D15" s="15">
        <v>1</v>
      </c>
      <c r="E15" s="33">
        <v>150000</v>
      </c>
      <c r="F15">
        <v>1</v>
      </c>
      <c r="G15" s="33">
        <v>200000</v>
      </c>
      <c r="H15" s="33">
        <f t="shared" si="0"/>
        <v>440000</v>
      </c>
      <c r="I15" s="15">
        <f t="shared" si="1"/>
        <v>3</v>
      </c>
      <c r="J15" s="26">
        <v>3000</v>
      </c>
      <c r="K15" s="25">
        <v>0</v>
      </c>
      <c r="L15" s="37">
        <f t="shared" si="2"/>
        <v>443000</v>
      </c>
      <c r="M15" s="41">
        <f t="shared" si="3"/>
        <v>143000</v>
      </c>
      <c r="N15">
        <v>1300</v>
      </c>
      <c r="O15" s="5">
        <f t="shared" si="4"/>
        <v>110</v>
      </c>
      <c r="P15" s="5">
        <f t="shared" si="5"/>
        <v>9.1666666666666661</v>
      </c>
    </row>
    <row r="16" spans="2:17" x14ac:dyDescent="0.25">
      <c r="B16">
        <v>1</v>
      </c>
      <c r="C16" s="33">
        <v>90000</v>
      </c>
      <c r="D16" s="15">
        <v>1</v>
      </c>
      <c r="E16" s="33">
        <v>150000</v>
      </c>
      <c r="F16">
        <v>1</v>
      </c>
      <c r="G16" s="33">
        <v>200000</v>
      </c>
      <c r="H16" s="33">
        <f t="shared" si="0"/>
        <v>440000</v>
      </c>
      <c r="I16" s="15">
        <f t="shared" si="1"/>
        <v>3</v>
      </c>
      <c r="J16" s="26">
        <v>3000</v>
      </c>
      <c r="K16" s="25">
        <v>0</v>
      </c>
      <c r="L16" s="37">
        <f t="shared" si="2"/>
        <v>443000</v>
      </c>
      <c r="M16" s="41">
        <f t="shared" si="3"/>
        <v>143000</v>
      </c>
      <c r="N16">
        <v>1400</v>
      </c>
      <c r="O16" s="5">
        <f t="shared" si="4"/>
        <v>102.14285714285714</v>
      </c>
      <c r="P16" s="5">
        <f t="shared" si="5"/>
        <v>8.511904761904761</v>
      </c>
    </row>
    <row r="17" spans="2:16" x14ac:dyDescent="0.25">
      <c r="B17">
        <v>1</v>
      </c>
      <c r="C17" s="33">
        <v>90000</v>
      </c>
      <c r="D17" s="15">
        <v>1</v>
      </c>
      <c r="E17" s="33">
        <v>150000</v>
      </c>
      <c r="F17">
        <v>1</v>
      </c>
      <c r="G17" s="33">
        <v>200000</v>
      </c>
      <c r="H17" s="33">
        <f t="shared" si="0"/>
        <v>440000</v>
      </c>
      <c r="I17" s="15">
        <f t="shared" si="1"/>
        <v>3</v>
      </c>
      <c r="J17" s="26">
        <v>3000</v>
      </c>
      <c r="K17" s="25">
        <v>0</v>
      </c>
      <c r="L17" s="37">
        <f t="shared" si="2"/>
        <v>443000</v>
      </c>
      <c r="M17" s="41">
        <f t="shared" si="3"/>
        <v>143000</v>
      </c>
      <c r="N17">
        <v>1500</v>
      </c>
      <c r="O17" s="5">
        <f t="shared" si="4"/>
        <v>95.333333333333329</v>
      </c>
      <c r="P17" s="5">
        <f t="shared" si="5"/>
        <v>7.9444444444444438</v>
      </c>
    </row>
    <row r="18" spans="2:16" x14ac:dyDescent="0.25">
      <c r="B18">
        <v>1</v>
      </c>
      <c r="C18" s="33">
        <v>90000</v>
      </c>
      <c r="D18" s="15">
        <v>1</v>
      </c>
      <c r="E18" s="33">
        <v>150000</v>
      </c>
      <c r="F18">
        <v>1</v>
      </c>
      <c r="G18" s="33">
        <v>200000</v>
      </c>
      <c r="H18" s="33">
        <f t="shared" si="0"/>
        <v>440000</v>
      </c>
      <c r="I18" s="15">
        <f t="shared" si="1"/>
        <v>3</v>
      </c>
      <c r="J18" s="26">
        <v>3000</v>
      </c>
      <c r="K18" s="25">
        <v>0</v>
      </c>
      <c r="L18" s="37">
        <f t="shared" si="2"/>
        <v>443000</v>
      </c>
      <c r="M18" s="41">
        <f t="shared" si="3"/>
        <v>143000</v>
      </c>
      <c r="N18">
        <v>1600</v>
      </c>
      <c r="O18" s="5">
        <f t="shared" si="4"/>
        <v>89.375</v>
      </c>
      <c r="P18" s="5">
        <f t="shared" si="5"/>
        <v>7.447916666666667</v>
      </c>
    </row>
    <row r="19" spans="2:16" x14ac:dyDescent="0.25">
      <c r="B19">
        <v>1</v>
      </c>
      <c r="C19" s="33">
        <v>90000</v>
      </c>
      <c r="D19" s="15">
        <v>1</v>
      </c>
      <c r="E19" s="33">
        <v>150000</v>
      </c>
      <c r="F19">
        <v>1</v>
      </c>
      <c r="G19" s="33">
        <v>200000</v>
      </c>
      <c r="H19" s="33">
        <f t="shared" si="0"/>
        <v>440000</v>
      </c>
      <c r="I19" s="15">
        <f t="shared" si="1"/>
        <v>3</v>
      </c>
      <c r="J19" s="26">
        <v>3000</v>
      </c>
      <c r="K19" s="25">
        <v>0</v>
      </c>
      <c r="L19" s="37">
        <f t="shared" si="2"/>
        <v>443000</v>
      </c>
      <c r="M19" s="41">
        <f t="shared" si="3"/>
        <v>143000</v>
      </c>
      <c r="N19">
        <v>1700</v>
      </c>
      <c r="O19" s="5">
        <f t="shared" si="4"/>
        <v>84.117647058823536</v>
      </c>
      <c r="P19" s="5">
        <f t="shared" si="5"/>
        <v>7.0098039215686283</v>
      </c>
    </row>
    <row r="20" spans="2:16" x14ac:dyDescent="0.25">
      <c r="B20">
        <v>1</v>
      </c>
      <c r="C20" s="33">
        <v>90000</v>
      </c>
      <c r="D20" s="15">
        <v>1</v>
      </c>
      <c r="E20" s="33">
        <v>150000</v>
      </c>
      <c r="F20">
        <v>1</v>
      </c>
      <c r="G20" s="33">
        <v>200000</v>
      </c>
      <c r="H20" s="33">
        <f t="shared" si="0"/>
        <v>440000</v>
      </c>
      <c r="I20" s="15">
        <f t="shared" si="1"/>
        <v>3</v>
      </c>
      <c r="J20" s="26">
        <v>3000</v>
      </c>
      <c r="K20" s="25">
        <v>0</v>
      </c>
      <c r="L20" s="37">
        <f t="shared" si="2"/>
        <v>443000</v>
      </c>
      <c r="M20" s="41">
        <f t="shared" si="3"/>
        <v>143000</v>
      </c>
      <c r="N20">
        <v>1800</v>
      </c>
      <c r="O20" s="5">
        <f t="shared" si="4"/>
        <v>79.444444444444443</v>
      </c>
      <c r="P20" s="5">
        <f t="shared" si="5"/>
        <v>6.6203703703703702</v>
      </c>
    </row>
    <row r="21" spans="2:16" x14ac:dyDescent="0.25">
      <c r="B21">
        <v>1</v>
      </c>
      <c r="C21" s="33">
        <v>90000</v>
      </c>
      <c r="D21" s="15">
        <v>1</v>
      </c>
      <c r="E21" s="33">
        <v>150000</v>
      </c>
      <c r="F21">
        <v>1</v>
      </c>
      <c r="G21" s="33">
        <v>200000</v>
      </c>
      <c r="H21" s="33">
        <f t="shared" si="0"/>
        <v>440000</v>
      </c>
      <c r="I21" s="15">
        <f t="shared" si="1"/>
        <v>3</v>
      </c>
      <c r="J21" s="26">
        <v>3000</v>
      </c>
      <c r="K21" s="25">
        <v>0</v>
      </c>
      <c r="L21" s="37">
        <f t="shared" si="2"/>
        <v>443000</v>
      </c>
      <c r="M21" s="41">
        <f t="shared" si="3"/>
        <v>143000</v>
      </c>
      <c r="N21">
        <v>1900</v>
      </c>
      <c r="O21" s="5">
        <f t="shared" si="4"/>
        <v>75.263157894736835</v>
      </c>
      <c r="P21" s="5">
        <f t="shared" si="5"/>
        <v>6.2719298245614032</v>
      </c>
    </row>
    <row r="22" spans="2:16" x14ac:dyDescent="0.25">
      <c r="B22">
        <v>1</v>
      </c>
      <c r="C22" s="33">
        <v>90000</v>
      </c>
      <c r="D22" s="15">
        <v>1</v>
      </c>
      <c r="E22" s="33">
        <v>150000</v>
      </c>
      <c r="F22">
        <v>1</v>
      </c>
      <c r="G22" s="33">
        <v>200000</v>
      </c>
      <c r="H22" s="33">
        <f t="shared" si="0"/>
        <v>440000</v>
      </c>
      <c r="I22" s="15">
        <f t="shared" si="1"/>
        <v>3</v>
      </c>
      <c r="J22" s="26">
        <v>3000</v>
      </c>
      <c r="K22" s="25">
        <v>0</v>
      </c>
      <c r="L22" s="37">
        <f t="shared" si="2"/>
        <v>443000</v>
      </c>
      <c r="M22" s="41">
        <f t="shared" si="3"/>
        <v>143000</v>
      </c>
      <c r="N22">
        <v>2000</v>
      </c>
      <c r="O22" s="5">
        <f t="shared" si="4"/>
        <v>71.5</v>
      </c>
      <c r="P22" s="5">
        <f t="shared" si="5"/>
        <v>5.958333333333333</v>
      </c>
    </row>
    <row r="44" spans="2:2" x14ac:dyDescent="0.25">
      <c r="B44" t="s">
        <v>80</v>
      </c>
    </row>
    <row r="46" spans="2:2" x14ac:dyDescent="0.25">
      <c r="B46" t="s">
        <v>79</v>
      </c>
    </row>
    <row r="47" spans="2:2" x14ac:dyDescent="0.25">
      <c r="B47">
        <f>145000/120</f>
        <v>1208.3333333333333</v>
      </c>
    </row>
  </sheetData>
  <mergeCells count="1">
    <mergeCell ref="B1:H1"/>
  </mergeCell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6" sqref="A6"/>
    </sheetView>
  </sheetViews>
  <sheetFormatPr defaultRowHeight="15" x14ac:dyDescent="0.25"/>
  <cols>
    <col min="4" max="4" width="14" customWidth="1"/>
    <col min="5" max="5" width="11.85546875" customWidth="1"/>
    <col min="6" max="6" width="10.85546875" customWidth="1"/>
  </cols>
  <sheetData>
    <row r="1" spans="1:9" x14ac:dyDescent="0.25">
      <c r="A1" t="s">
        <v>56</v>
      </c>
    </row>
    <row r="2" spans="1:9" x14ac:dyDescent="0.25">
      <c r="C2" t="s">
        <v>57</v>
      </c>
      <c r="D2" t="s">
        <v>58</v>
      </c>
      <c r="E2" t="s">
        <v>59</v>
      </c>
      <c r="F2" t="s">
        <v>60</v>
      </c>
      <c r="G2" t="s">
        <v>1</v>
      </c>
    </row>
    <row r="3" spans="1:9" x14ac:dyDescent="0.25">
      <c r="A3" t="s">
        <v>61</v>
      </c>
      <c r="B3">
        <f>18*40</f>
        <v>720</v>
      </c>
      <c r="C3" s="26">
        <f>115*B3</f>
        <v>82800</v>
      </c>
      <c r="D3" s="26">
        <f>B3*100/2</f>
        <v>36000</v>
      </c>
      <c r="E3" s="26">
        <f>B3*100/2</f>
        <v>36000</v>
      </c>
      <c r="F3" s="26">
        <f>B3*30/2</f>
        <v>10800</v>
      </c>
      <c r="G3" s="26">
        <f>90000*(18/52)</f>
        <v>31153.846153846152</v>
      </c>
      <c r="I3" s="26">
        <f>SUM(C3:G3)</f>
        <v>196753.84615384616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6.5" x14ac:dyDescent="0.3"/>
  <cols>
    <col min="1" max="1" width="27.7109375" style="44" customWidth="1"/>
    <col min="2" max="2" width="17" style="44" customWidth="1"/>
    <col min="3" max="3" width="12.7109375" style="44" customWidth="1"/>
    <col min="4" max="4" width="12.140625" style="44" customWidth="1"/>
    <col min="5" max="16384" width="9.140625" style="44"/>
  </cols>
  <sheetData>
    <row r="1" spans="1:4" x14ac:dyDescent="0.3">
      <c r="A1" s="43" t="s">
        <v>63</v>
      </c>
      <c r="B1" s="44" t="s">
        <v>65</v>
      </c>
      <c r="C1" s="44" t="s">
        <v>68</v>
      </c>
      <c r="D1" s="44" t="s">
        <v>69</v>
      </c>
    </row>
    <row r="2" spans="1:4" x14ac:dyDescent="0.3">
      <c r="A2" s="44" t="s">
        <v>64</v>
      </c>
      <c r="B2" s="44">
        <v>10</v>
      </c>
      <c r="D2" s="44">
        <f>B2*52</f>
        <v>520</v>
      </c>
    </row>
    <row r="3" spans="1:4" x14ac:dyDescent="0.3">
      <c r="A3" s="44" t="s">
        <v>66</v>
      </c>
      <c r="C3" s="44">
        <v>40</v>
      </c>
      <c r="D3" s="44">
        <f>C3*4</f>
        <v>160</v>
      </c>
    </row>
    <row r="4" spans="1:4" x14ac:dyDescent="0.3">
      <c r="A4" s="44" t="s">
        <v>67</v>
      </c>
      <c r="D4" s="44">
        <v>40</v>
      </c>
    </row>
    <row r="5" spans="1:4" x14ac:dyDescent="0.3">
      <c r="A5" s="44" t="s">
        <v>70</v>
      </c>
      <c r="D5" s="44">
        <f>40*8</f>
        <v>320</v>
      </c>
    </row>
    <row r="6" spans="1:4" x14ac:dyDescent="0.3">
      <c r="A6" s="44" t="s">
        <v>78</v>
      </c>
      <c r="D6" s="44">
        <f>SUBTOTAL(109,Table1[annually])</f>
        <v>1040</v>
      </c>
    </row>
    <row r="8" spans="1:4" x14ac:dyDescent="0.3">
      <c r="C8" s="43" t="s">
        <v>71</v>
      </c>
      <c r="D8" s="45">
        <f>Table1[[#Totals],[annually]]*100</f>
        <v>104000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2" sqref="G22"/>
    </sheetView>
  </sheetViews>
  <sheetFormatPr defaultRowHeight="15" x14ac:dyDescent="0.25"/>
  <cols>
    <col min="1" max="2" width="18.5703125" customWidth="1"/>
    <col min="3" max="3" width="17.85546875" bestFit="1" customWidth="1"/>
    <col min="5" max="5" width="12.7109375" bestFit="1" customWidth="1"/>
  </cols>
  <sheetData>
    <row r="1" spans="1:8" ht="23.25" x14ac:dyDescent="0.35">
      <c r="A1" s="13" t="s">
        <v>10</v>
      </c>
      <c r="B1" s="13"/>
    </row>
    <row r="2" spans="1:8" x14ac:dyDescent="0.25">
      <c r="A2" s="3"/>
      <c r="B2" s="3"/>
      <c r="C2" s="3" t="s">
        <v>11</v>
      </c>
      <c r="D2" s="3"/>
      <c r="E2" s="3" t="s">
        <v>6</v>
      </c>
    </row>
    <row r="3" spans="1:8" x14ac:dyDescent="0.25">
      <c r="A3" t="s">
        <v>34</v>
      </c>
      <c r="C3">
        <v>100</v>
      </c>
    </row>
    <row r="4" spans="1:8" x14ac:dyDescent="0.25">
      <c r="A4" t="s">
        <v>14</v>
      </c>
      <c r="C4" s="26">
        <v>24000000</v>
      </c>
      <c r="E4" s="4">
        <f>C4/12</f>
        <v>2000000</v>
      </c>
    </row>
    <row r="5" spans="1:8" x14ac:dyDescent="0.25">
      <c r="A5" t="s">
        <v>7</v>
      </c>
      <c r="C5" s="26">
        <f>C3*512</f>
        <v>51200</v>
      </c>
      <c r="E5" s="4">
        <f>C5/36</f>
        <v>1422.2222222222222</v>
      </c>
      <c r="G5" t="s">
        <v>16</v>
      </c>
    </row>
    <row r="6" spans="1:8" x14ac:dyDescent="0.25">
      <c r="A6" t="s">
        <v>8</v>
      </c>
      <c r="C6" s="26">
        <v>60000</v>
      </c>
      <c r="E6" s="4">
        <f>C6/12</f>
        <v>5000</v>
      </c>
    </row>
    <row r="7" spans="1:8" x14ac:dyDescent="0.25">
      <c r="A7" t="s">
        <v>9</v>
      </c>
      <c r="B7" s="2">
        <v>0.1</v>
      </c>
      <c r="C7" s="26">
        <f>C4*B7</f>
        <v>2400000</v>
      </c>
      <c r="E7" s="4">
        <f>C7/12</f>
        <v>200000</v>
      </c>
    </row>
    <row r="8" spans="1:8" x14ac:dyDescent="0.25">
      <c r="A8" t="s">
        <v>13</v>
      </c>
      <c r="B8" s="2">
        <v>0.5</v>
      </c>
      <c r="C8" s="26">
        <f>E4*B8*2</f>
        <v>2000000</v>
      </c>
      <c r="E8" s="4">
        <f>E4*B8</f>
        <v>1000000</v>
      </c>
      <c r="G8" t="s">
        <v>12</v>
      </c>
    </row>
    <row r="9" spans="1:8" x14ac:dyDescent="0.25">
      <c r="A9" t="s">
        <v>24</v>
      </c>
      <c r="C9" s="26">
        <f>C5+C6+C8</f>
        <v>2111200</v>
      </c>
      <c r="E9" s="4">
        <f>E6+E5</f>
        <v>6422.2222222222226</v>
      </c>
    </row>
    <row r="10" spans="1:8" x14ac:dyDescent="0.25">
      <c r="C10" s="4"/>
      <c r="E10" s="4"/>
    </row>
    <row r="11" spans="1:8" ht="21" x14ac:dyDescent="0.35">
      <c r="A11" s="11" t="s">
        <v>23</v>
      </c>
      <c r="B11" s="11"/>
      <c r="C11" s="11"/>
      <c r="D11" s="11"/>
      <c r="E11" s="12">
        <f>E8/(E7-E6-E5)</f>
        <v>5.1658822178854322</v>
      </c>
      <c r="F11" s="11" t="s">
        <v>15</v>
      </c>
      <c r="G11" s="11"/>
      <c r="H11" s="11"/>
    </row>
    <row r="12" spans="1:8" ht="21" x14ac:dyDescent="0.35">
      <c r="A12" s="9" t="s">
        <v>0</v>
      </c>
      <c r="B12" s="9"/>
      <c r="C12" s="10">
        <f>(C7-(C8+C9))/(C8+C9)</f>
        <v>-0.4162288382953882</v>
      </c>
      <c r="D12" s="7"/>
      <c r="E12" s="7"/>
      <c r="F12" s="6"/>
      <c r="G12" s="6"/>
      <c r="H12" s="6"/>
    </row>
    <row r="13" spans="1:8" x14ac:dyDescent="0.25">
      <c r="A13" s="3" t="s">
        <v>17</v>
      </c>
      <c r="B13" s="3"/>
      <c r="C13" s="3"/>
      <c r="D13" s="3"/>
      <c r="E13" s="8">
        <f>E7</f>
        <v>200000</v>
      </c>
      <c r="F13" s="3" t="s">
        <v>18</v>
      </c>
      <c r="G13" s="3"/>
      <c r="H1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1" sqref="A11"/>
    </sheetView>
  </sheetViews>
  <sheetFormatPr defaultRowHeight="15" x14ac:dyDescent="0.25"/>
  <cols>
    <col min="1" max="1" width="30.42578125" customWidth="1"/>
  </cols>
  <sheetData>
    <row r="1" spans="1:2" x14ac:dyDescent="0.25">
      <c r="A1" s="29" t="s">
        <v>26</v>
      </c>
    </row>
    <row r="3" spans="1:2" x14ac:dyDescent="0.25">
      <c r="A3" t="s">
        <v>27</v>
      </c>
      <c r="B3">
        <v>700</v>
      </c>
    </row>
    <row r="4" spans="1:2" x14ac:dyDescent="0.25">
      <c r="A4" t="s">
        <v>28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20</v>
      </c>
    </row>
    <row r="7" spans="1:2" x14ac:dyDescent="0.25">
      <c r="A7" t="s">
        <v>31</v>
      </c>
    </row>
    <row r="8" spans="1:2" x14ac:dyDescent="0.25">
      <c r="A8" t="s">
        <v>32</v>
      </c>
      <c r="B8">
        <v>45</v>
      </c>
    </row>
    <row r="9" spans="1:2" x14ac:dyDescent="0.25">
      <c r="A9" t="s">
        <v>33</v>
      </c>
      <c r="B9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D22" workbookViewId="0">
      <selection activeCell="L33" sqref="L33:L39"/>
    </sheetView>
  </sheetViews>
  <sheetFormatPr defaultRowHeight="15" x14ac:dyDescent="0.25"/>
  <cols>
    <col min="1" max="1" width="13.85546875" customWidth="1"/>
    <col min="2" max="2" width="10.5703125" customWidth="1"/>
    <col min="3" max="3" width="10.28515625" customWidth="1"/>
    <col min="4" max="4" width="12.28515625" customWidth="1"/>
    <col min="5" max="5" width="15.85546875" customWidth="1"/>
    <col min="6" max="6" width="11.140625" customWidth="1"/>
    <col min="7" max="7" width="16.7109375" customWidth="1"/>
    <col min="8" max="8" width="20.140625" customWidth="1"/>
    <col min="10" max="10" width="9.85546875" customWidth="1"/>
    <col min="13" max="13" width="10.85546875" customWidth="1"/>
    <col min="14" max="14" width="9.5703125" customWidth="1"/>
  </cols>
  <sheetData>
    <row r="1" spans="1:9" x14ac:dyDescent="0.25">
      <c r="A1" t="s">
        <v>37</v>
      </c>
    </row>
    <row r="4" spans="1:9" ht="30" x14ac:dyDescent="0.25">
      <c r="A4" s="49" t="s">
        <v>47</v>
      </c>
      <c r="B4" s="49"/>
      <c r="G4" s="30" t="s">
        <v>48</v>
      </c>
      <c r="H4" s="31" t="s">
        <v>49</v>
      </c>
    </row>
    <row r="5" spans="1:9" x14ac:dyDescent="0.25">
      <c r="A5" s="29" t="s">
        <v>38</v>
      </c>
      <c r="B5" s="29" t="s">
        <v>44</v>
      </c>
    </row>
    <row r="6" spans="1:9" x14ac:dyDescent="0.25">
      <c r="A6" t="s">
        <v>39</v>
      </c>
      <c r="B6">
        <v>1</v>
      </c>
      <c r="G6">
        <v>2</v>
      </c>
      <c r="H6" t="s">
        <v>5</v>
      </c>
    </row>
    <row r="7" spans="1:9" x14ac:dyDescent="0.25">
      <c r="A7" t="s">
        <v>40</v>
      </c>
      <c r="B7">
        <v>1</v>
      </c>
      <c r="G7">
        <v>4</v>
      </c>
      <c r="H7" t="s">
        <v>5</v>
      </c>
    </row>
    <row r="8" spans="1:9" x14ac:dyDescent="0.25">
      <c r="A8" t="s">
        <v>41</v>
      </c>
      <c r="B8">
        <v>5</v>
      </c>
      <c r="G8">
        <v>20</v>
      </c>
      <c r="H8" t="s">
        <v>5</v>
      </c>
    </row>
    <row r="9" spans="1:9" x14ac:dyDescent="0.25">
      <c r="A9" t="s">
        <v>42</v>
      </c>
      <c r="B9">
        <v>6</v>
      </c>
      <c r="G9">
        <v>50</v>
      </c>
      <c r="H9" t="s">
        <v>2</v>
      </c>
      <c r="I9" t="s">
        <v>50</v>
      </c>
    </row>
    <row r="10" spans="1:9" x14ac:dyDescent="0.25">
      <c r="A10" t="s">
        <v>43</v>
      </c>
      <c r="B10">
        <v>1</v>
      </c>
      <c r="G10">
        <v>8</v>
      </c>
      <c r="H10" t="s">
        <v>2</v>
      </c>
    </row>
    <row r="12" spans="1:9" x14ac:dyDescent="0.25">
      <c r="B12">
        <f>SUM(B6:B11)</f>
        <v>14</v>
      </c>
      <c r="C12" t="s">
        <v>45</v>
      </c>
    </row>
    <row r="14" spans="1:9" x14ac:dyDescent="0.25">
      <c r="A14" t="s">
        <v>46</v>
      </c>
    </row>
    <row r="18" spans="1:14" x14ac:dyDescent="0.25">
      <c r="G18" t="s">
        <v>51</v>
      </c>
    </row>
    <row r="19" spans="1:14" x14ac:dyDescent="0.25">
      <c r="G19" t="s">
        <v>52</v>
      </c>
    </row>
    <row r="20" spans="1:14" x14ac:dyDescent="0.25">
      <c r="G20" t="s">
        <v>53</v>
      </c>
    </row>
    <row r="21" spans="1:14" x14ac:dyDescent="0.25">
      <c r="G21" t="s">
        <v>54</v>
      </c>
    </row>
    <row r="22" spans="1:14" x14ac:dyDescent="0.25">
      <c r="G22" t="s">
        <v>55</v>
      </c>
    </row>
    <row r="24" spans="1:14" x14ac:dyDescent="0.25">
      <c r="C24" s="50" t="s">
        <v>75</v>
      </c>
      <c r="D24" s="50"/>
      <c r="I24" t="s">
        <v>6</v>
      </c>
      <c r="J24" t="s">
        <v>76</v>
      </c>
      <c r="K24" t="s">
        <v>81</v>
      </c>
      <c r="L24" t="s">
        <v>82</v>
      </c>
      <c r="M24" t="s">
        <v>83</v>
      </c>
      <c r="N24" t="s">
        <v>84</v>
      </c>
    </row>
    <row r="25" spans="1:14" x14ac:dyDescent="0.25">
      <c r="A25" t="s">
        <v>73</v>
      </c>
      <c r="B25" t="s">
        <v>74</v>
      </c>
      <c r="C25" t="s">
        <v>76</v>
      </c>
      <c r="D25" t="s">
        <v>77</v>
      </c>
      <c r="I25" s="46">
        <v>41913</v>
      </c>
      <c r="J25">
        <f>C28</f>
        <v>40</v>
      </c>
      <c r="K25">
        <v>22</v>
      </c>
      <c r="L25" s="26">
        <v>0</v>
      </c>
      <c r="M25" s="26">
        <v>0</v>
      </c>
      <c r="N25" s="26">
        <f>M25-L25</f>
        <v>0</v>
      </c>
    </row>
    <row r="26" spans="1:14" x14ac:dyDescent="0.25">
      <c r="A26">
        <v>1</v>
      </c>
      <c r="B26" s="42">
        <v>41925</v>
      </c>
      <c r="C26">
        <v>0</v>
      </c>
      <c r="D26">
        <v>0</v>
      </c>
      <c r="E26" s="26"/>
      <c r="I26" s="46">
        <v>41944</v>
      </c>
      <c r="J26">
        <f>C32</f>
        <v>120</v>
      </c>
      <c r="K26">
        <v>76</v>
      </c>
      <c r="L26" s="26">
        <v>0</v>
      </c>
      <c r="M26" s="26">
        <v>0</v>
      </c>
      <c r="N26" s="26">
        <f t="shared" ref="N26:N39" si="0">M26-L26</f>
        <v>0</v>
      </c>
    </row>
    <row r="27" spans="1:14" x14ac:dyDescent="0.25">
      <c r="A27">
        <v>2</v>
      </c>
      <c r="B27" s="42">
        <v>41932</v>
      </c>
      <c r="C27">
        <v>20</v>
      </c>
      <c r="D27">
        <v>17</v>
      </c>
      <c r="E27" s="26"/>
      <c r="I27" s="46">
        <v>41974</v>
      </c>
      <c r="J27">
        <f>C37</f>
        <v>220</v>
      </c>
      <c r="K27">
        <v>76</v>
      </c>
      <c r="L27" s="26">
        <v>0</v>
      </c>
      <c r="M27" s="26">
        <v>0</v>
      </c>
      <c r="N27" s="26">
        <f t="shared" si="0"/>
        <v>0</v>
      </c>
    </row>
    <row r="28" spans="1:14" x14ac:dyDescent="0.25">
      <c r="A28">
        <v>3</v>
      </c>
      <c r="B28" s="42">
        <v>41939</v>
      </c>
      <c r="C28">
        <v>40</v>
      </c>
      <c r="D28">
        <v>22</v>
      </c>
      <c r="E28" s="26"/>
      <c r="I28" s="46">
        <v>42005</v>
      </c>
      <c r="J28">
        <f>C41</f>
        <v>300</v>
      </c>
      <c r="K28">
        <v>220</v>
      </c>
      <c r="L28" s="26">
        <v>0</v>
      </c>
      <c r="M28" s="47">
        <f>K28*10</f>
        <v>2200</v>
      </c>
      <c r="N28" s="26">
        <f t="shared" si="0"/>
        <v>2200</v>
      </c>
    </row>
    <row r="29" spans="1:14" x14ac:dyDescent="0.25">
      <c r="A29">
        <v>4</v>
      </c>
      <c r="B29" s="42">
        <v>41946</v>
      </c>
      <c r="C29">
        <v>60</v>
      </c>
      <c r="D29">
        <f>D28+54</f>
        <v>76</v>
      </c>
      <c r="E29" s="26"/>
      <c r="I29" s="46">
        <v>42036</v>
      </c>
      <c r="J29">
        <f>C45</f>
        <v>380</v>
      </c>
      <c r="K29">
        <v>282</v>
      </c>
      <c r="L29" s="26">
        <v>0</v>
      </c>
      <c r="M29" s="26">
        <f>J29*10</f>
        <v>3800</v>
      </c>
      <c r="N29" s="26">
        <f t="shared" si="0"/>
        <v>3800</v>
      </c>
    </row>
    <row r="30" spans="1:14" x14ac:dyDescent="0.25">
      <c r="A30">
        <v>5</v>
      </c>
      <c r="B30" s="42">
        <v>41953</v>
      </c>
      <c r="C30">
        <v>80</v>
      </c>
      <c r="D30">
        <v>76</v>
      </c>
      <c r="E30" s="26"/>
      <c r="I30" s="46">
        <v>42064</v>
      </c>
      <c r="J30">
        <f>C50</f>
        <v>480</v>
      </c>
      <c r="K30">
        <v>282</v>
      </c>
      <c r="L30" s="26">
        <v>0</v>
      </c>
      <c r="M30" s="26">
        <f t="shared" ref="M30:M39" si="1">J30*10</f>
        <v>4800</v>
      </c>
      <c r="N30" s="26">
        <f t="shared" si="0"/>
        <v>4800</v>
      </c>
    </row>
    <row r="31" spans="1:14" x14ac:dyDescent="0.25">
      <c r="A31">
        <v>6</v>
      </c>
      <c r="B31" s="42">
        <v>41960</v>
      </c>
      <c r="C31">
        <v>100</v>
      </c>
      <c r="D31">
        <v>76</v>
      </c>
      <c r="E31" s="26"/>
      <c r="I31" s="46">
        <v>42095</v>
      </c>
      <c r="J31">
        <f>C54</f>
        <v>560</v>
      </c>
      <c r="K31">
        <v>282</v>
      </c>
      <c r="L31" s="26">
        <v>0</v>
      </c>
      <c r="M31" s="47">
        <v>4380</v>
      </c>
      <c r="N31" s="26">
        <f t="shared" si="0"/>
        <v>4380</v>
      </c>
    </row>
    <row r="32" spans="1:14" x14ac:dyDescent="0.25">
      <c r="A32">
        <v>7</v>
      </c>
      <c r="B32" s="42">
        <v>41967</v>
      </c>
      <c r="C32">
        <v>120</v>
      </c>
      <c r="D32">
        <v>76</v>
      </c>
      <c r="E32" s="26"/>
      <c r="I32" s="46">
        <v>42125</v>
      </c>
      <c r="J32">
        <f>C58</f>
        <v>640</v>
      </c>
      <c r="K32">
        <v>282</v>
      </c>
      <c r="L32" s="26">
        <v>0</v>
      </c>
      <c r="M32" s="26">
        <f t="shared" si="1"/>
        <v>6400</v>
      </c>
      <c r="N32" s="26">
        <f t="shared" si="0"/>
        <v>6400</v>
      </c>
    </row>
    <row r="33" spans="1:14" x14ac:dyDescent="0.25">
      <c r="A33">
        <v>8</v>
      </c>
      <c r="B33" s="42">
        <v>41974</v>
      </c>
      <c r="C33">
        <v>140</v>
      </c>
      <c r="D33">
        <v>76</v>
      </c>
      <c r="E33" s="26"/>
      <c r="I33" s="46">
        <v>42156</v>
      </c>
      <c r="J33">
        <f>C63</f>
        <v>740</v>
      </c>
      <c r="K33">
        <v>282</v>
      </c>
      <c r="L33" s="26">
        <v>3000</v>
      </c>
      <c r="M33" s="26">
        <f t="shared" si="1"/>
        <v>7400</v>
      </c>
      <c r="N33" s="26">
        <f t="shared" si="0"/>
        <v>4400</v>
      </c>
    </row>
    <row r="34" spans="1:14" x14ac:dyDescent="0.25">
      <c r="A34">
        <v>9</v>
      </c>
      <c r="B34" s="42">
        <v>41981</v>
      </c>
      <c r="C34">
        <v>160</v>
      </c>
      <c r="D34">
        <v>76</v>
      </c>
      <c r="E34" s="26"/>
      <c r="I34" s="46">
        <v>42186</v>
      </c>
      <c r="J34">
        <f>C67</f>
        <v>820</v>
      </c>
      <c r="K34">
        <v>282</v>
      </c>
      <c r="L34" s="26">
        <v>3000</v>
      </c>
      <c r="M34" s="26">
        <f t="shared" si="1"/>
        <v>8200</v>
      </c>
      <c r="N34" s="26">
        <f t="shared" si="0"/>
        <v>5200</v>
      </c>
    </row>
    <row r="35" spans="1:14" x14ac:dyDescent="0.25">
      <c r="A35">
        <v>10</v>
      </c>
      <c r="B35" s="42">
        <v>41988</v>
      </c>
      <c r="C35">
        <v>180</v>
      </c>
      <c r="D35">
        <v>76</v>
      </c>
      <c r="E35" s="26"/>
      <c r="I35" s="46">
        <v>42217</v>
      </c>
      <c r="J35">
        <f>C72</f>
        <v>920</v>
      </c>
      <c r="K35">
        <v>282</v>
      </c>
      <c r="L35" s="26">
        <v>3000</v>
      </c>
      <c r="M35" s="26">
        <f t="shared" si="1"/>
        <v>9200</v>
      </c>
      <c r="N35" s="26">
        <f t="shared" si="0"/>
        <v>6200</v>
      </c>
    </row>
    <row r="36" spans="1:14" x14ac:dyDescent="0.25">
      <c r="A36">
        <v>11</v>
      </c>
      <c r="B36" s="42">
        <v>41995</v>
      </c>
      <c r="C36">
        <v>200</v>
      </c>
      <c r="D36">
        <v>76</v>
      </c>
      <c r="E36" s="26"/>
      <c r="I36" s="46">
        <v>42248</v>
      </c>
      <c r="J36">
        <f>C76</f>
        <v>1000</v>
      </c>
      <c r="K36">
        <v>282</v>
      </c>
      <c r="L36" s="26">
        <v>3000</v>
      </c>
      <c r="M36" s="26">
        <f t="shared" si="1"/>
        <v>10000</v>
      </c>
      <c r="N36" s="26">
        <f t="shared" si="0"/>
        <v>7000</v>
      </c>
    </row>
    <row r="37" spans="1:14" x14ac:dyDescent="0.25">
      <c r="A37">
        <v>12</v>
      </c>
      <c r="B37" s="42">
        <v>42002</v>
      </c>
      <c r="C37">
        <v>220</v>
      </c>
      <c r="D37">
        <v>76</v>
      </c>
      <c r="E37" s="26"/>
      <c r="I37" s="46">
        <v>42278</v>
      </c>
      <c r="J37">
        <f>C80</f>
        <v>1080</v>
      </c>
      <c r="K37">
        <v>282</v>
      </c>
      <c r="L37" s="26">
        <v>3000</v>
      </c>
      <c r="M37" s="26">
        <f t="shared" si="1"/>
        <v>10800</v>
      </c>
      <c r="N37" s="26">
        <f t="shared" si="0"/>
        <v>7800</v>
      </c>
    </row>
    <row r="38" spans="1:14" x14ac:dyDescent="0.25">
      <c r="A38">
        <v>13</v>
      </c>
      <c r="B38" s="42">
        <v>42009</v>
      </c>
      <c r="C38">
        <v>240</v>
      </c>
      <c r="D38">
        <v>121</v>
      </c>
      <c r="E38" s="26"/>
      <c r="I38" s="46">
        <v>42309</v>
      </c>
      <c r="J38">
        <f>C85</f>
        <v>1180</v>
      </c>
      <c r="K38">
        <v>282</v>
      </c>
      <c r="L38" s="26">
        <v>3000</v>
      </c>
      <c r="M38" s="26">
        <f t="shared" si="1"/>
        <v>11800</v>
      </c>
      <c r="N38" s="26">
        <f t="shared" si="0"/>
        <v>8800</v>
      </c>
    </row>
    <row r="39" spans="1:14" x14ac:dyDescent="0.25">
      <c r="A39">
        <v>14</v>
      </c>
      <c r="B39" s="42">
        <v>42016</v>
      </c>
      <c r="C39">
        <v>260</v>
      </c>
      <c r="D39">
        <v>121</v>
      </c>
      <c r="E39" s="26"/>
      <c r="I39" s="46">
        <v>42339</v>
      </c>
      <c r="J39">
        <f>C89</f>
        <v>1260</v>
      </c>
      <c r="K39">
        <v>282</v>
      </c>
      <c r="L39" s="26">
        <v>3000</v>
      </c>
      <c r="M39" s="26">
        <f t="shared" si="1"/>
        <v>12600</v>
      </c>
      <c r="N39" s="26">
        <f t="shared" si="0"/>
        <v>9600</v>
      </c>
    </row>
    <row r="40" spans="1:14" x14ac:dyDescent="0.25">
      <c r="A40">
        <v>15</v>
      </c>
      <c r="B40" s="42">
        <v>42023</v>
      </c>
      <c r="C40">
        <v>280</v>
      </c>
      <c r="D40">
        <v>121</v>
      </c>
      <c r="E40" s="26"/>
    </row>
    <row r="41" spans="1:14" x14ac:dyDescent="0.25">
      <c r="A41">
        <v>16</v>
      </c>
      <c r="B41" s="42">
        <v>42030</v>
      </c>
      <c r="C41">
        <v>300</v>
      </c>
      <c r="D41">
        <v>220</v>
      </c>
      <c r="E41" s="26"/>
    </row>
    <row r="42" spans="1:14" x14ac:dyDescent="0.25">
      <c r="A42">
        <v>17</v>
      </c>
      <c r="B42" s="42">
        <v>42037</v>
      </c>
      <c r="C42">
        <v>320</v>
      </c>
      <c r="D42">
        <v>220</v>
      </c>
      <c r="E42" s="26"/>
    </row>
    <row r="43" spans="1:14" x14ac:dyDescent="0.25">
      <c r="A43">
        <v>18</v>
      </c>
      <c r="B43" s="42">
        <v>42044</v>
      </c>
      <c r="C43">
        <v>340</v>
      </c>
      <c r="D43">
        <v>265</v>
      </c>
      <c r="E43" s="26"/>
    </row>
    <row r="44" spans="1:14" x14ac:dyDescent="0.25">
      <c r="A44">
        <v>19</v>
      </c>
      <c r="B44" s="42">
        <v>42051</v>
      </c>
      <c r="C44">
        <v>360</v>
      </c>
      <c r="D44">
        <v>282</v>
      </c>
      <c r="E44" s="26"/>
    </row>
    <row r="45" spans="1:14" x14ac:dyDescent="0.25">
      <c r="A45">
        <v>20</v>
      </c>
      <c r="B45" s="42">
        <v>42058</v>
      </c>
      <c r="C45">
        <v>380</v>
      </c>
      <c r="E45" s="26"/>
    </row>
    <row r="46" spans="1:14" x14ac:dyDescent="0.25">
      <c r="A46">
        <v>21</v>
      </c>
      <c r="B46" s="42">
        <v>42065</v>
      </c>
      <c r="C46">
        <v>400</v>
      </c>
      <c r="E46" s="26"/>
    </row>
    <row r="47" spans="1:14" x14ac:dyDescent="0.25">
      <c r="A47">
        <v>22</v>
      </c>
      <c r="B47" s="42">
        <v>42072</v>
      </c>
      <c r="C47">
        <v>420</v>
      </c>
      <c r="E47" s="26"/>
    </row>
    <row r="48" spans="1:14" x14ac:dyDescent="0.25">
      <c r="A48">
        <v>23</v>
      </c>
      <c r="B48" s="42">
        <v>42079</v>
      </c>
      <c r="C48">
        <v>440</v>
      </c>
      <c r="E48" s="26"/>
    </row>
    <row r="49" spans="1:5" x14ac:dyDescent="0.25">
      <c r="A49">
        <v>24</v>
      </c>
      <c r="B49" s="42">
        <v>42086</v>
      </c>
      <c r="C49">
        <v>460</v>
      </c>
      <c r="E49" s="26"/>
    </row>
    <row r="50" spans="1:5" x14ac:dyDescent="0.25">
      <c r="A50">
        <v>25</v>
      </c>
      <c r="B50" s="42">
        <v>42093</v>
      </c>
      <c r="C50">
        <v>480</v>
      </c>
      <c r="E50" s="26"/>
    </row>
    <row r="51" spans="1:5" x14ac:dyDescent="0.25">
      <c r="A51">
        <v>26</v>
      </c>
      <c r="B51" s="42">
        <v>42100</v>
      </c>
      <c r="C51">
        <v>500</v>
      </c>
      <c r="E51" s="26"/>
    </row>
    <row r="52" spans="1:5" x14ac:dyDescent="0.25">
      <c r="A52">
        <v>27</v>
      </c>
      <c r="B52" s="42">
        <v>42107</v>
      </c>
      <c r="C52">
        <v>520</v>
      </c>
      <c r="E52" s="26"/>
    </row>
    <row r="53" spans="1:5" x14ac:dyDescent="0.25">
      <c r="A53">
        <v>28</v>
      </c>
      <c r="B53" s="42">
        <v>42114</v>
      </c>
      <c r="C53">
        <v>540</v>
      </c>
      <c r="E53" s="26"/>
    </row>
    <row r="54" spans="1:5" x14ac:dyDescent="0.25">
      <c r="A54">
        <v>29</v>
      </c>
      <c r="B54" s="42">
        <v>42121</v>
      </c>
      <c r="C54">
        <v>560</v>
      </c>
      <c r="E54" s="26"/>
    </row>
    <row r="55" spans="1:5" x14ac:dyDescent="0.25">
      <c r="A55">
        <v>30</v>
      </c>
      <c r="B55" s="42">
        <v>42128</v>
      </c>
      <c r="C55">
        <v>580</v>
      </c>
      <c r="E55" s="26"/>
    </row>
    <row r="56" spans="1:5" x14ac:dyDescent="0.25">
      <c r="A56">
        <v>31</v>
      </c>
      <c r="B56" s="42">
        <v>42135</v>
      </c>
      <c r="C56">
        <v>600</v>
      </c>
      <c r="E56" s="26"/>
    </row>
    <row r="57" spans="1:5" x14ac:dyDescent="0.25">
      <c r="A57">
        <v>32</v>
      </c>
      <c r="B57" s="42">
        <v>42142</v>
      </c>
      <c r="C57">
        <v>620</v>
      </c>
      <c r="E57" s="26"/>
    </row>
    <row r="58" spans="1:5" x14ac:dyDescent="0.25">
      <c r="A58">
        <v>33</v>
      </c>
      <c r="B58" s="42">
        <v>42149</v>
      </c>
      <c r="C58">
        <v>640</v>
      </c>
      <c r="E58" s="26"/>
    </row>
    <row r="59" spans="1:5" x14ac:dyDescent="0.25">
      <c r="A59">
        <v>34</v>
      </c>
      <c r="B59" s="42">
        <v>42156</v>
      </c>
      <c r="C59">
        <v>660</v>
      </c>
      <c r="E59" s="26"/>
    </row>
    <row r="60" spans="1:5" x14ac:dyDescent="0.25">
      <c r="A60">
        <v>35</v>
      </c>
      <c r="B60" s="42">
        <v>42163</v>
      </c>
      <c r="C60">
        <v>680</v>
      </c>
      <c r="E60" s="26"/>
    </row>
    <row r="61" spans="1:5" x14ac:dyDescent="0.25">
      <c r="A61">
        <v>36</v>
      </c>
      <c r="B61" s="42">
        <v>42170</v>
      </c>
      <c r="C61">
        <v>700</v>
      </c>
      <c r="E61" s="26"/>
    </row>
    <row r="62" spans="1:5" x14ac:dyDescent="0.25">
      <c r="A62">
        <v>37</v>
      </c>
      <c r="B62" s="42">
        <v>42177</v>
      </c>
      <c r="C62">
        <v>720</v>
      </c>
      <c r="E62" s="26"/>
    </row>
    <row r="63" spans="1:5" x14ac:dyDescent="0.25">
      <c r="A63">
        <v>38</v>
      </c>
      <c r="B63" s="42">
        <v>42184</v>
      </c>
      <c r="C63">
        <v>740</v>
      </c>
      <c r="E63" s="26"/>
    </row>
    <row r="64" spans="1:5" x14ac:dyDescent="0.25">
      <c r="A64">
        <v>39</v>
      </c>
      <c r="B64" s="42">
        <v>42191</v>
      </c>
      <c r="C64">
        <v>760</v>
      </c>
      <c r="E64" s="26"/>
    </row>
    <row r="65" spans="1:5" x14ac:dyDescent="0.25">
      <c r="A65">
        <v>40</v>
      </c>
      <c r="B65" s="42">
        <v>42198</v>
      </c>
      <c r="C65">
        <v>780</v>
      </c>
      <c r="E65" s="26"/>
    </row>
    <row r="66" spans="1:5" x14ac:dyDescent="0.25">
      <c r="A66">
        <v>41</v>
      </c>
      <c r="B66" s="42">
        <v>42205</v>
      </c>
      <c r="C66">
        <v>800</v>
      </c>
      <c r="E66" s="26"/>
    </row>
    <row r="67" spans="1:5" x14ac:dyDescent="0.25">
      <c r="A67">
        <v>42</v>
      </c>
      <c r="B67" s="42">
        <v>42212</v>
      </c>
      <c r="C67">
        <v>820</v>
      </c>
      <c r="E67" s="26"/>
    </row>
    <row r="68" spans="1:5" x14ac:dyDescent="0.25">
      <c r="A68">
        <v>43</v>
      </c>
      <c r="B68" s="42">
        <v>42219</v>
      </c>
      <c r="C68">
        <v>840</v>
      </c>
      <c r="E68" s="26"/>
    </row>
    <row r="69" spans="1:5" x14ac:dyDescent="0.25">
      <c r="A69">
        <v>44</v>
      </c>
      <c r="B69" s="42">
        <v>42226</v>
      </c>
      <c r="C69">
        <v>860</v>
      </c>
      <c r="E69" s="26"/>
    </row>
    <row r="70" spans="1:5" x14ac:dyDescent="0.25">
      <c r="A70">
        <v>45</v>
      </c>
      <c r="B70" s="42">
        <v>42233</v>
      </c>
      <c r="C70">
        <v>880</v>
      </c>
      <c r="E70" s="26"/>
    </row>
    <row r="71" spans="1:5" x14ac:dyDescent="0.25">
      <c r="A71">
        <v>46</v>
      </c>
      <c r="B71" s="42">
        <v>42240</v>
      </c>
      <c r="C71">
        <v>900</v>
      </c>
      <c r="E71" s="26"/>
    </row>
    <row r="72" spans="1:5" x14ac:dyDescent="0.25">
      <c r="A72">
        <v>47</v>
      </c>
      <c r="B72" s="42">
        <v>42247</v>
      </c>
      <c r="C72">
        <v>920</v>
      </c>
      <c r="E72" s="26"/>
    </row>
    <row r="73" spans="1:5" x14ac:dyDescent="0.25">
      <c r="A73">
        <v>48</v>
      </c>
      <c r="B73" s="42">
        <v>42254</v>
      </c>
      <c r="C73">
        <v>940</v>
      </c>
      <c r="E73" s="26"/>
    </row>
    <row r="74" spans="1:5" x14ac:dyDescent="0.25">
      <c r="A74">
        <v>49</v>
      </c>
      <c r="B74" s="42">
        <v>42261</v>
      </c>
      <c r="C74">
        <v>960</v>
      </c>
      <c r="E74" s="26"/>
    </row>
    <row r="75" spans="1:5" x14ac:dyDescent="0.25">
      <c r="A75">
        <v>50</v>
      </c>
      <c r="B75" s="42">
        <v>42268</v>
      </c>
      <c r="C75">
        <v>980</v>
      </c>
      <c r="E75" s="26"/>
    </row>
    <row r="76" spans="1:5" x14ac:dyDescent="0.25">
      <c r="A76">
        <v>51</v>
      </c>
      <c r="B76" s="42">
        <v>42275</v>
      </c>
      <c r="C76">
        <v>1000</v>
      </c>
      <c r="E76" s="26"/>
    </row>
    <row r="77" spans="1:5" x14ac:dyDescent="0.25">
      <c r="A77">
        <v>52</v>
      </c>
      <c r="B77" s="42">
        <v>42282</v>
      </c>
      <c r="C77">
        <v>1020</v>
      </c>
      <c r="E77" s="26"/>
    </row>
    <row r="78" spans="1:5" x14ac:dyDescent="0.25">
      <c r="A78">
        <v>53</v>
      </c>
      <c r="B78" s="42">
        <v>42289</v>
      </c>
      <c r="C78">
        <v>1040</v>
      </c>
      <c r="E78" s="26"/>
    </row>
    <row r="79" spans="1:5" x14ac:dyDescent="0.25">
      <c r="A79">
        <v>54</v>
      </c>
      <c r="B79" s="42">
        <v>42296</v>
      </c>
      <c r="C79">
        <v>1060</v>
      </c>
      <c r="E79" s="26"/>
    </row>
    <row r="80" spans="1:5" x14ac:dyDescent="0.25">
      <c r="A80">
        <v>55</v>
      </c>
      <c r="B80" s="42">
        <v>42303</v>
      </c>
      <c r="C80">
        <v>1080</v>
      </c>
      <c r="E80" s="26"/>
    </row>
    <row r="81" spans="1:5" x14ac:dyDescent="0.25">
      <c r="A81">
        <v>56</v>
      </c>
      <c r="B81" s="42">
        <v>42310</v>
      </c>
      <c r="C81">
        <v>1100</v>
      </c>
      <c r="E81" s="26"/>
    </row>
    <row r="82" spans="1:5" x14ac:dyDescent="0.25">
      <c r="A82">
        <v>57</v>
      </c>
      <c r="B82" s="42">
        <v>42317</v>
      </c>
      <c r="C82">
        <v>1120</v>
      </c>
      <c r="E82" s="26"/>
    </row>
    <row r="83" spans="1:5" x14ac:dyDescent="0.25">
      <c r="A83">
        <v>58</v>
      </c>
      <c r="B83" s="42">
        <v>42324</v>
      </c>
      <c r="C83">
        <v>1140</v>
      </c>
      <c r="E83" s="26"/>
    </row>
    <row r="84" spans="1:5" x14ac:dyDescent="0.25">
      <c r="A84">
        <v>59</v>
      </c>
      <c r="B84" s="42">
        <v>42331</v>
      </c>
      <c r="C84">
        <v>1160</v>
      </c>
      <c r="E84" s="26"/>
    </row>
    <row r="85" spans="1:5" x14ac:dyDescent="0.25">
      <c r="A85">
        <v>60</v>
      </c>
      <c r="B85" s="42">
        <v>42338</v>
      </c>
      <c r="C85">
        <v>1180</v>
      </c>
      <c r="E85" s="26"/>
    </row>
    <row r="86" spans="1:5" x14ac:dyDescent="0.25">
      <c r="A86">
        <v>61</v>
      </c>
      <c r="B86" s="42">
        <v>42345</v>
      </c>
      <c r="C86">
        <v>1200</v>
      </c>
      <c r="E86" s="26"/>
    </row>
    <row r="87" spans="1:5" x14ac:dyDescent="0.25">
      <c r="A87">
        <v>62</v>
      </c>
      <c r="B87" s="42">
        <v>42352</v>
      </c>
      <c r="C87">
        <v>1220</v>
      </c>
      <c r="E87" s="26"/>
    </row>
    <row r="88" spans="1:5" x14ac:dyDescent="0.25">
      <c r="A88">
        <v>63</v>
      </c>
      <c r="B88" s="42">
        <v>42359</v>
      </c>
      <c r="C88">
        <v>1240</v>
      </c>
      <c r="E88" s="26"/>
    </row>
    <row r="89" spans="1:5" x14ac:dyDescent="0.25">
      <c r="A89">
        <v>64</v>
      </c>
      <c r="B89" s="42">
        <v>42366</v>
      </c>
      <c r="C89">
        <v>1260</v>
      </c>
      <c r="E89" s="26"/>
    </row>
  </sheetData>
  <mergeCells count="2">
    <mergeCell ref="A4:B4"/>
    <mergeCell ref="C24:D24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C259A7161F438FA784257010334D" ma:contentTypeVersion="0" ma:contentTypeDescription="Create a new document." ma:contentTypeScope="" ma:versionID="b2b09026a26ae8b88758c6f62fba2f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c6aa9cbb78429ff5556453bce906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175533-6624-41D6-B8A6-BF12AA8A0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84F6AA-4994-423E-85F2-C951AA726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0DF38F-7B82-4B9C-830E-A5B8A17487A8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Charge back</vt:lpstr>
      <vt:lpstr>2014</vt:lpstr>
      <vt:lpstr>DevOps Est.</vt:lpstr>
      <vt:lpstr>ROI Calculations</vt:lpstr>
      <vt:lpstr>Est. User Counts</vt:lpstr>
      <vt:lpstr>Onboarding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cp:lastPrinted>2014-07-29T17:57:37Z</cp:lastPrinted>
  <dcterms:created xsi:type="dcterms:W3CDTF">2014-06-30T20:13:00Z</dcterms:created>
  <dcterms:modified xsi:type="dcterms:W3CDTF">2015-06-23T13:58:52Z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0x010100B7D0C259A7161F438FA784257010334D</vt:lpwstr>
  </property>
</Properties>
</file>