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semstfs\DefaultCollection\etfs\documentation\planning\"/>
    </mc:Choice>
  </mc:AlternateContent>
  <bookViews>
    <workbookView xWindow="0" yWindow="0" windowWidth="21750" windowHeight="9780"/>
  </bookViews>
  <sheets>
    <sheet name="Charge back" sheetId="1" r:id="rId1"/>
    <sheet name="Sheet1" sheetId="5" r:id="rId2"/>
    <sheet name="ROI Calculations" sheetId="2" r:id="rId3"/>
    <sheet name="Est. User Counts" sheetId="3" r:id="rId4"/>
    <sheet name="Onboarding Schedule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C4" i="5"/>
  <c r="C3" i="5"/>
  <c r="G4" i="5"/>
  <c r="B4" i="5"/>
  <c r="F3" i="5"/>
  <c r="I22" i="5" l="1"/>
  <c r="F22" i="5"/>
  <c r="F21" i="5"/>
  <c r="F19" i="5"/>
  <c r="F18" i="5"/>
  <c r="I11" i="5" l="1"/>
  <c r="E3" i="5" l="1"/>
  <c r="D3" i="5"/>
  <c r="I3" i="5"/>
  <c r="G3" i="5"/>
  <c r="B3" i="5"/>
  <c r="B12" i="4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C9" i="2"/>
  <c r="C12" i="2" s="1"/>
  <c r="E8" i="2"/>
  <c r="C8" i="2"/>
  <c r="C5" i="2"/>
  <c r="H4" i="1" l="1"/>
  <c r="H5" i="1"/>
  <c r="H6" i="1"/>
  <c r="H7" i="1"/>
  <c r="H8" i="1"/>
  <c r="L8" i="1" s="1"/>
  <c r="H9" i="1"/>
  <c r="L9" i="1" s="1"/>
  <c r="N9" i="1" s="1"/>
  <c r="O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H17" i="1"/>
  <c r="H18" i="1"/>
  <c r="H19" i="1"/>
  <c r="H20" i="1"/>
  <c r="L20" i="1" s="1"/>
  <c r="H21" i="1"/>
  <c r="L21" i="1" s="1"/>
  <c r="H22" i="1"/>
  <c r="L22" i="1" s="1"/>
  <c r="H3" i="1"/>
  <c r="L3" i="1" s="1"/>
  <c r="E13" i="2"/>
  <c r="C7" i="2"/>
  <c r="E7" i="2" s="1"/>
  <c r="E5" i="2"/>
  <c r="E6" i="2"/>
  <c r="E4" i="2"/>
  <c r="L5" i="1" l="1"/>
  <c r="N5" i="1" s="1"/>
  <c r="O5" i="1" s="1"/>
  <c r="L18" i="1"/>
  <c r="N18" i="1" s="1"/>
  <c r="O18" i="1" s="1"/>
  <c r="L7" i="1"/>
  <c r="N7" i="1" s="1"/>
  <c r="O7" i="1" s="1"/>
  <c r="L17" i="1"/>
  <c r="N17" i="1" s="1"/>
  <c r="O17" i="1" s="1"/>
  <c r="L6" i="1"/>
  <c r="N6" i="1" s="1"/>
  <c r="O6" i="1" s="1"/>
  <c r="L4" i="1"/>
  <c r="N4" i="1" s="1"/>
  <c r="O4" i="1" s="1"/>
  <c r="L19" i="1"/>
  <c r="N19" i="1" s="1"/>
  <c r="O19" i="1" s="1"/>
  <c r="L16" i="1"/>
  <c r="N16" i="1" s="1"/>
  <c r="O16" i="1" s="1"/>
  <c r="E9" i="2"/>
  <c r="N14" i="1"/>
  <c r="O14" i="1" s="1"/>
  <c r="N8" i="1"/>
  <c r="O8" i="1" s="1"/>
  <c r="N3" i="1"/>
  <c r="O3" i="1" s="1"/>
  <c r="N21" i="1"/>
  <c r="O21" i="1" s="1"/>
  <c r="N20" i="1"/>
  <c r="O20" i="1" s="1"/>
  <c r="N13" i="1"/>
  <c r="O13" i="1" s="1"/>
  <c r="N11" i="1"/>
  <c r="O11" i="1" s="1"/>
  <c r="N22" i="1"/>
  <c r="O22" i="1" s="1"/>
  <c r="N10" i="1"/>
  <c r="O10" i="1" s="1"/>
  <c r="N12" i="1"/>
  <c r="O12" i="1" s="1"/>
  <c r="N15" i="1"/>
  <c r="O15" i="1" s="1"/>
  <c r="E11" i="2"/>
</calcChain>
</file>

<file path=xl/sharedStrings.xml><?xml version="1.0" encoding="utf-8"?>
<sst xmlns="http://schemas.openxmlformats.org/spreadsheetml/2006/main" count="104" uniqueCount="82">
  <si>
    <t>ROI</t>
  </si>
  <si>
    <t>Ops</t>
  </si>
  <si>
    <t>Solutions</t>
  </si>
  <si>
    <t>Resources</t>
  </si>
  <si>
    <t>Cost</t>
  </si>
  <si>
    <t>Relationship Manager</t>
  </si>
  <si>
    <t>Monthly</t>
  </si>
  <si>
    <t>CALS</t>
  </si>
  <si>
    <t>Usage</t>
  </si>
  <si>
    <t>Productivity Gains</t>
  </si>
  <si>
    <t>For 100 Users and $24MM Budget</t>
  </si>
  <si>
    <t>Annual</t>
  </si>
  <si>
    <t>Assume 50% Loss of productivity during transition and training (2 months) - $2MM lost</t>
  </si>
  <si>
    <t>Productivity Loss</t>
  </si>
  <si>
    <t>Budget</t>
  </si>
  <si>
    <t>months</t>
  </si>
  <si>
    <t>(cost ammorphosized over 3 years)</t>
  </si>
  <si>
    <t>Gains</t>
  </si>
  <si>
    <t>monthly productivity gains</t>
  </si>
  <si>
    <t>Total Labor</t>
  </si>
  <si>
    <t>Infrastructure</t>
  </si>
  <si>
    <t>Number of Users</t>
  </si>
  <si>
    <t>Total Cost</t>
  </si>
  <si>
    <t>ROI Payback</t>
  </si>
  <si>
    <t>Investment</t>
  </si>
  <si>
    <t>Annual Charge per User</t>
  </si>
  <si>
    <t>Known Users of TFS within 3M</t>
  </si>
  <si>
    <t>HIS</t>
  </si>
  <si>
    <t>SEMS</t>
  </si>
  <si>
    <t>DOC</t>
  </si>
  <si>
    <t>Unitek</t>
  </si>
  <si>
    <t>IPD/FS</t>
  </si>
  <si>
    <t>IT</t>
  </si>
  <si>
    <t>SOSD</t>
  </si>
  <si>
    <t>Users</t>
  </si>
  <si>
    <t>Team Size</t>
  </si>
  <si>
    <t>Montly Cost/User</t>
  </si>
  <si>
    <t>Onboarding</t>
  </si>
  <si>
    <t>Task</t>
  </si>
  <si>
    <t>Initial Meeting</t>
  </si>
  <si>
    <t>Team Interview</t>
  </si>
  <si>
    <t>Training</t>
  </si>
  <si>
    <t>Migration</t>
  </si>
  <si>
    <t>Go Live</t>
  </si>
  <si>
    <t>Time (days)</t>
  </si>
  <si>
    <t>9 days (with concurrent tasks)</t>
  </si>
  <si>
    <t>Assumption:  10 days to onboard a new team</t>
  </si>
  <si>
    <t>Duration</t>
  </si>
  <si>
    <t>Resources Time Estimate (hours)</t>
  </si>
  <si>
    <t>Resource</t>
  </si>
  <si>
    <t>data migrations, customizations, service enhancements</t>
  </si>
  <si>
    <t>Solutions Team Work Breakdown</t>
  </si>
  <si>
    <t>60 hours of time for each team</t>
  </si>
  <si>
    <t>700 people to onboard from HIS</t>
  </si>
  <si>
    <t>estimate 10 people per team</t>
  </si>
  <si>
    <t>solutions hours needed for onboarding:  60 x 70 = 4200 hours</t>
  </si>
  <si>
    <t>Service Implementation</t>
  </si>
  <si>
    <t>Mike</t>
  </si>
  <si>
    <t>Don</t>
  </si>
  <si>
    <t>DevOps</t>
  </si>
  <si>
    <t>Logesh</t>
  </si>
  <si>
    <t>18 weeks</t>
  </si>
  <si>
    <t>Service Manager</t>
  </si>
  <si>
    <t>Spend since 5/5</t>
  </si>
  <si>
    <t>may</t>
  </si>
  <si>
    <t>june</t>
  </si>
  <si>
    <t>august</t>
  </si>
  <si>
    <t>SEMS Development</t>
  </si>
  <si>
    <t>Escalation Tickets</t>
  </si>
  <si>
    <t>wkly hrs (est)</t>
  </si>
  <si>
    <t>Updates</t>
  </si>
  <si>
    <t>Upgrades</t>
  </si>
  <si>
    <t>quarterly</t>
  </si>
  <si>
    <t>annually</t>
  </si>
  <si>
    <t>New Functionality</t>
  </si>
  <si>
    <t>Budget:</t>
  </si>
  <si>
    <t>Date</t>
  </si>
  <si>
    <t>2015 Q3</t>
  </si>
  <si>
    <t>2015 Q1</t>
  </si>
  <si>
    <t>2014 Q4</t>
  </si>
  <si>
    <t>2015 Q2</t>
  </si>
  <si>
    <t>2015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</si>
</sst>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1" fillId="2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0" fontId="2" fillId="4" borderId="0" xfId="3"/>
    <xf numFmtId="9" fontId="2" fillId="4" borderId="0" xfId="3" applyNumberFormat="1"/>
    <xf numFmtId="164" fontId="1" fillId="2" borderId="0" xfId="1" applyNumberFormat="1"/>
    <xf numFmtId="0" fontId="3" fillId="4" borderId="0" xfId="3" applyFont="1"/>
    <xf numFmtId="9" fontId="3" fillId="4" borderId="0" xfId="3" applyNumberFormat="1" applyFont="1"/>
    <xf numFmtId="0" fontId="4" fillId="2" borderId="0" xfId="1" applyFont="1"/>
    <xf numFmtId="1" fontId="4" fillId="2" borderId="0" xfId="1" applyNumberFormat="1" applyFont="1"/>
    <xf numFmtId="0" fontId="5" fillId="0" borderId="0" xfId="0" applyFont="1"/>
    <xf numFmtId="0" fontId="2" fillId="3" borderId="0" xfId="2"/>
    <xf numFmtId="2" fontId="0" fillId="0" borderId="0" xfId="0" applyNumberFormat="1"/>
    <xf numFmtId="0" fontId="2" fillId="3" borderId="2" xfId="2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2" fillId="3" borderId="6" xfId="2" applyBorder="1" applyAlignment="1">
      <alignment horizontal="center"/>
    </xf>
    <xf numFmtId="0" fontId="2" fillId="3" borderId="6" xfId="2" applyBorder="1" applyAlignment="1">
      <alignment horizontal="center" wrapText="1"/>
    </xf>
    <xf numFmtId="0" fontId="2" fillId="3" borderId="1" xfId="2" applyBorder="1" applyAlignment="1">
      <alignment horizontal="center" wrapText="1"/>
    </xf>
    <xf numFmtId="0" fontId="2" fillId="3" borderId="1" xfId="2" applyBorder="1" applyAlignment="1">
      <alignment horizontal="center"/>
    </xf>
    <xf numFmtId="0" fontId="0" fillId="0" borderId="10" xfId="0" applyBorder="1"/>
    <xf numFmtId="0" fontId="2" fillId="3" borderId="2" xfId="2" applyBorder="1" applyAlignment="1">
      <alignment horizontal="center"/>
    </xf>
    <xf numFmtId="164" fontId="0" fillId="0" borderId="0" xfId="0" applyNumberFormat="1" applyFill="1" applyBorder="1"/>
    <xf numFmtId="165" fontId="0" fillId="0" borderId="0" xfId="0" applyNumberFormat="1"/>
    <xf numFmtId="165" fontId="2" fillId="3" borderId="0" xfId="2" applyNumberFormat="1"/>
    <xf numFmtId="165" fontId="2" fillId="3" borderId="8" xfId="2" applyNumberFormat="1" applyBorder="1" applyAlignment="1">
      <alignment horizontal="center"/>
    </xf>
    <xf numFmtId="0" fontId="7" fillId="0" borderId="0" xfId="0" applyFont="1"/>
    <xf numFmtId="0" fontId="6" fillId="5" borderId="0" xfId="4" applyAlignment="1">
      <alignment horizontal="center" wrapText="1"/>
    </xf>
    <xf numFmtId="0" fontId="6" fillId="5" borderId="0" xfId="4" applyAlignment="1">
      <alignment horizontal="center"/>
    </xf>
    <xf numFmtId="3" fontId="2" fillId="3" borderId="1" xfId="2" applyNumberFormat="1" applyBorder="1" applyAlignment="1">
      <alignment horizontal="center"/>
    </xf>
    <xf numFmtId="3" fontId="0" fillId="0" borderId="0" xfId="0" applyNumberFormat="1"/>
    <xf numFmtId="3" fontId="2" fillId="3" borderId="7" xfId="2" applyNumberFormat="1" applyBorder="1" applyAlignment="1">
      <alignment horizontal="center"/>
    </xf>
    <xf numFmtId="3" fontId="2" fillId="3" borderId="0" xfId="2" applyNumberFormat="1"/>
    <xf numFmtId="3" fontId="2" fillId="3" borderId="9" xfId="2" applyNumberFormat="1" applyBorder="1" applyAlignment="1">
      <alignment horizontal="center"/>
    </xf>
    <xf numFmtId="3" fontId="0" fillId="0" borderId="3" xfId="0" applyNumberFormat="1" applyBorder="1"/>
    <xf numFmtId="2" fontId="2" fillId="3" borderId="0" xfId="2" applyNumberFormat="1" applyBorder="1" applyAlignment="1">
      <alignment horizontal="center"/>
    </xf>
    <xf numFmtId="2" fontId="2" fillId="3" borderId="8" xfId="2" applyNumberFormat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6" fillId="6" borderId="0" xfId="5" applyAlignment="1">
      <alignment horizontal="center"/>
    </xf>
    <xf numFmtId="0" fontId="2" fillId="3" borderId="0" xfId="2" applyAlignment="1">
      <alignment horizontal="center"/>
    </xf>
  </cellXfs>
  <cellStyles count="6">
    <cellStyle name="40% - Accent5" xfId="4" builtinId="47"/>
    <cellStyle name="40% - Accent6" xfId="5" builtinId="51"/>
    <cellStyle name="60% - Accent5" xfId="3" builtinId="48"/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Cost/User based on Total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'Charge back'!$I$2</c:f>
              <c:strCache>
                <c:ptCount val="1"/>
                <c:pt idx="0">
                  <c:v>Team Size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'Charge back'!$M$2:$M$23</c15:sqref>
                  </c15:fullRef>
                </c:ext>
              </c:extLst>
              <c:f>'Charge back'!$M$3:$M$23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'Charge back'!$I$3:$I$22</c15:sqref>
                  </c15:fullRef>
                </c:ext>
              </c:extLst>
              <c:f>'Charge back'!$I$4:$I$22</c:f>
              <c:numCache>
                <c:formatCode>0.00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0760"/>
        <c:axId val="444019192"/>
      </c:lineChart>
      <c:lineChart>
        <c:grouping val="standard"/>
        <c:varyColors val="0"/>
        <c:ser>
          <c:idx val="2"/>
          <c:order val="1"/>
          <c:tx>
            <c:strRef>
              <c:f>'Charge back'!$O$2</c:f>
              <c:strCache>
                <c:ptCount val="1"/>
                <c:pt idx="0">
                  <c:v>Montly Cost/User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9"/>
              <c:pt idx="0">
                <c:v>$2.00</c:v>
              </c:pt>
              <c:pt idx="1">
                <c:v>$3.00</c:v>
              </c:pt>
              <c:pt idx="2">
                <c:v>$4.00</c:v>
              </c:pt>
              <c:pt idx="3">
                <c:v>$5.00</c:v>
              </c:pt>
              <c:pt idx="4">
                <c:v>$6.00</c:v>
              </c:pt>
              <c:pt idx="5">
                <c:v>$7.00</c:v>
              </c:pt>
              <c:pt idx="6">
                <c:v>$8.00</c:v>
              </c:pt>
              <c:pt idx="7">
                <c:v>$9.00</c:v>
              </c:pt>
              <c:pt idx="8">
                <c:v>$10.00</c:v>
              </c:pt>
              <c:pt idx="9">
                <c:v>$11.00</c:v>
              </c:pt>
              <c:pt idx="10">
                <c:v>$12.00</c:v>
              </c:pt>
              <c:pt idx="11">
                <c:v>$13.00</c:v>
              </c:pt>
              <c:pt idx="12">
                <c:v>$14.00</c:v>
              </c:pt>
              <c:pt idx="13">
                <c:v>$15.00</c:v>
              </c:pt>
              <c:pt idx="14">
                <c:v>$16.00</c:v>
              </c:pt>
              <c:pt idx="15">
                <c:v>$17.00</c:v>
              </c:pt>
              <c:pt idx="16">
                <c:v>$18.00</c:v>
              </c:pt>
              <c:pt idx="17">
                <c:v>$19.00</c:v>
              </c:pt>
              <c:pt idx="18">
                <c:v>$20.00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'Charge back'!$O$3:$O$22</c15:sqref>
                  </c15:fullRef>
                </c:ext>
              </c:extLst>
              <c:f>'Charge back'!$O$4:$O$22</c:f>
              <c:numCache>
                <c:formatCode>"$"#,##0.00</c:formatCode>
                <c:ptCount val="19"/>
                <c:pt idx="0">
                  <c:v>183.95833333333334</c:v>
                </c:pt>
                <c:pt idx="1">
                  <c:v>122.6388888888889</c:v>
                </c:pt>
                <c:pt idx="2">
                  <c:v>91.979166666666671</c:v>
                </c:pt>
                <c:pt idx="3">
                  <c:v>73.583333333333329</c:v>
                </c:pt>
                <c:pt idx="4">
                  <c:v>61.31944444444445</c:v>
                </c:pt>
                <c:pt idx="5">
                  <c:v>52.559523809523803</c:v>
                </c:pt>
                <c:pt idx="6">
                  <c:v>45.989583333333336</c:v>
                </c:pt>
                <c:pt idx="7">
                  <c:v>40.879629629629626</c:v>
                </c:pt>
                <c:pt idx="8">
                  <c:v>36.791666666666664</c:v>
                </c:pt>
                <c:pt idx="9">
                  <c:v>44.810606060606062</c:v>
                </c:pt>
                <c:pt idx="10">
                  <c:v>41.076388888888893</c:v>
                </c:pt>
                <c:pt idx="11">
                  <c:v>37.916666666666664</c:v>
                </c:pt>
                <c:pt idx="12">
                  <c:v>35.208333333333336</c:v>
                </c:pt>
                <c:pt idx="13">
                  <c:v>41.194444444444443</c:v>
                </c:pt>
                <c:pt idx="14">
                  <c:v>38.619791666666664</c:v>
                </c:pt>
                <c:pt idx="15">
                  <c:v>36.348039215686278</c:v>
                </c:pt>
                <c:pt idx="16">
                  <c:v>34.328703703703702</c:v>
                </c:pt>
                <c:pt idx="17">
                  <c:v>32.521929824561404</c:v>
                </c:pt>
                <c:pt idx="18">
                  <c:v>37.145833333333336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12528"/>
        <c:axId val="444018016"/>
      </c:lineChart>
      <c:catAx>
        <c:axId val="44402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9192"/>
        <c:crosses val="autoZero"/>
        <c:auto val="1"/>
        <c:lblAlgn val="ctr"/>
        <c:lblOffset val="100"/>
        <c:noMultiLvlLbl val="0"/>
      </c:catAx>
      <c:valAx>
        <c:axId val="4440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ETFS Team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0760"/>
        <c:crosses val="autoZero"/>
        <c:crossBetween val="between"/>
      </c:valAx>
      <c:valAx>
        <c:axId val="444018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Cost/User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2528"/>
        <c:crosses val="max"/>
        <c:crossBetween val="between"/>
      </c:valAx>
      <c:catAx>
        <c:axId val="444012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01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833437</xdr:colOff>
      <xdr:row>22</xdr:row>
      <xdr:rowOff>176211</xdr:rowOff>
    </xdr:from>
    <xdr:to>
      <xdr:col>10</xdr:col>
      <xdr:colOff>619125</xdr:colOff>
      <xdr:row>39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tabSelected="1" workbookViewId="0">
      <selection activeCell="A20" sqref="A20"/>
    </sheetView>
  </sheetViews>
  <sheetFormatPr defaultRowHeight="15" x14ac:dyDescent="0.25"/>
  <cols>
    <col min="2" max="2" width="13" customWidth="1"/>
    <col min="3" max="3" width="13" style="33" customWidth="1"/>
    <col min="4" max="4" width="16.85546875" customWidth="1"/>
    <col min="5" max="5" width="11.140625" style="33" bestFit="1" customWidth="1"/>
    <col min="6" max="6" width="14" customWidth="1"/>
    <col min="7" max="7" width="11.140625" style="33" bestFit="1" customWidth="1"/>
    <col min="8" max="8" width="13.7109375" style="33" customWidth="1"/>
    <col min="9" max="9" width="13.7109375" style="15" customWidth="1"/>
    <col min="10" max="10" width="16.140625" style="26" customWidth="1"/>
    <col min="11" max="11" width="17.7109375" customWidth="1"/>
    <col min="12" max="12" width="12.42578125" style="33" customWidth="1"/>
    <col min="13" max="13" width="14.85546875" customWidth="1"/>
    <col min="14" max="14" width="15.7109375" customWidth="1"/>
    <col min="15" max="15" width="13.7109375" customWidth="1"/>
  </cols>
  <sheetData>
    <row r="1" spans="1:16" x14ac:dyDescent="0.25">
      <c r="A1" s="14"/>
      <c r="B1" s="40" t="s">
        <v>3</v>
      </c>
      <c r="C1" s="40"/>
      <c r="D1" s="40"/>
      <c r="E1" s="40"/>
      <c r="F1" s="40"/>
      <c r="G1" s="40"/>
      <c r="H1" s="40"/>
      <c r="I1" s="38"/>
      <c r="J1" s="27"/>
      <c r="K1" s="14"/>
      <c r="L1" s="35"/>
      <c r="M1" s="14"/>
      <c r="N1" s="14"/>
      <c r="O1" s="14"/>
    </row>
    <row r="2" spans="1:16" s="1" customFormat="1" ht="30" x14ac:dyDescent="0.25">
      <c r="A2" s="42" t="s">
        <v>76</v>
      </c>
      <c r="B2" s="19" t="s">
        <v>1</v>
      </c>
      <c r="C2" s="32" t="s">
        <v>4</v>
      </c>
      <c r="D2" s="22" t="s">
        <v>59</v>
      </c>
      <c r="E2" s="32" t="s">
        <v>4</v>
      </c>
      <c r="F2" s="21" t="s">
        <v>62</v>
      </c>
      <c r="G2" s="34"/>
      <c r="H2" s="32" t="s">
        <v>19</v>
      </c>
      <c r="I2" s="39" t="s">
        <v>35</v>
      </c>
      <c r="J2" s="28" t="s">
        <v>20</v>
      </c>
      <c r="K2" s="24" t="s">
        <v>24</v>
      </c>
      <c r="L2" s="36" t="s">
        <v>22</v>
      </c>
      <c r="M2" s="16" t="s">
        <v>21</v>
      </c>
      <c r="N2" s="20" t="s">
        <v>25</v>
      </c>
      <c r="O2" s="21" t="s">
        <v>36</v>
      </c>
    </row>
    <row r="3" spans="1:16" x14ac:dyDescent="0.25">
      <c r="A3" t="s">
        <v>79</v>
      </c>
      <c r="B3">
        <v>1</v>
      </c>
      <c r="C3" s="33">
        <v>90000</v>
      </c>
      <c r="D3" s="15">
        <v>1</v>
      </c>
      <c r="E3" s="33">
        <v>150000</v>
      </c>
      <c r="F3">
        <v>1</v>
      </c>
      <c r="G3" s="33">
        <v>200000</v>
      </c>
      <c r="H3" s="33">
        <f>B3*C3+D3*E3+F3*G3</f>
        <v>440000</v>
      </c>
      <c r="I3" s="15">
        <f>B3+D3+F3</f>
        <v>3</v>
      </c>
      <c r="J3" s="26">
        <v>1500</v>
      </c>
      <c r="K3" s="4">
        <v>0</v>
      </c>
      <c r="L3" s="37">
        <f>H3+J3+K3</f>
        <v>441500</v>
      </c>
      <c r="M3" s="17">
        <v>100</v>
      </c>
      <c r="N3" s="5">
        <f>L3/M3</f>
        <v>4415</v>
      </c>
      <c r="O3" s="5">
        <f>N3/12</f>
        <v>367.91666666666669</v>
      </c>
    </row>
    <row r="4" spans="1:16" x14ac:dyDescent="0.25">
      <c r="A4" t="s">
        <v>79</v>
      </c>
      <c r="B4">
        <v>1</v>
      </c>
      <c r="C4" s="33">
        <v>90000</v>
      </c>
      <c r="D4" s="15">
        <v>1</v>
      </c>
      <c r="E4" s="33">
        <v>150000</v>
      </c>
      <c r="F4">
        <v>1</v>
      </c>
      <c r="G4" s="33">
        <v>200000</v>
      </c>
      <c r="H4" s="33">
        <f t="shared" ref="H4:H22" si="0">B4*C4+D4*E4+F4*G4</f>
        <v>440000</v>
      </c>
      <c r="I4" s="15">
        <f t="shared" ref="I4:I22" si="1">B4+D4+F4</f>
        <v>3</v>
      </c>
      <c r="J4" s="26">
        <v>1500</v>
      </c>
      <c r="K4" s="4">
        <v>0</v>
      </c>
      <c r="L4" s="37">
        <f t="shared" ref="L4:L22" si="2">H4+J4+K4</f>
        <v>441500</v>
      </c>
      <c r="M4" s="18">
        <v>200</v>
      </c>
      <c r="N4" s="5">
        <f t="shared" ref="N4:N22" si="3">L4/M4</f>
        <v>2207.5</v>
      </c>
      <c r="O4" s="5">
        <f t="shared" ref="O4:O22" si="4">N4/12</f>
        <v>183.95833333333334</v>
      </c>
    </row>
    <row r="5" spans="1:16" x14ac:dyDescent="0.25">
      <c r="A5" t="s">
        <v>79</v>
      </c>
      <c r="B5">
        <v>1</v>
      </c>
      <c r="C5" s="33">
        <v>90000</v>
      </c>
      <c r="D5" s="15">
        <v>1</v>
      </c>
      <c r="E5" s="33">
        <v>150000</v>
      </c>
      <c r="F5">
        <v>1</v>
      </c>
      <c r="G5" s="33">
        <v>200000</v>
      </c>
      <c r="H5" s="33">
        <f t="shared" si="0"/>
        <v>440000</v>
      </c>
      <c r="I5" s="15">
        <f t="shared" si="1"/>
        <v>3</v>
      </c>
      <c r="J5" s="26">
        <v>1500</v>
      </c>
      <c r="K5" s="4">
        <v>0</v>
      </c>
      <c r="L5" s="37">
        <f t="shared" si="2"/>
        <v>441500</v>
      </c>
      <c r="M5">
        <v>300</v>
      </c>
      <c r="N5" s="5">
        <f t="shared" si="3"/>
        <v>1471.6666666666667</v>
      </c>
      <c r="O5" s="5">
        <f t="shared" si="4"/>
        <v>122.6388888888889</v>
      </c>
      <c r="P5" s="23"/>
    </row>
    <row r="6" spans="1:16" x14ac:dyDescent="0.25">
      <c r="A6" t="s">
        <v>79</v>
      </c>
      <c r="B6">
        <v>1</v>
      </c>
      <c r="C6" s="33">
        <v>90000</v>
      </c>
      <c r="D6" s="15">
        <v>1</v>
      </c>
      <c r="E6" s="33">
        <v>150000</v>
      </c>
      <c r="F6">
        <v>1</v>
      </c>
      <c r="G6" s="33">
        <v>200000</v>
      </c>
      <c r="H6" s="33">
        <f t="shared" si="0"/>
        <v>440000</v>
      </c>
      <c r="I6" s="15">
        <f t="shared" si="1"/>
        <v>3</v>
      </c>
      <c r="J6" s="26">
        <v>1500</v>
      </c>
      <c r="K6" s="25">
        <v>0</v>
      </c>
      <c r="L6" s="37">
        <f t="shared" si="2"/>
        <v>441500</v>
      </c>
      <c r="M6">
        <v>400</v>
      </c>
      <c r="N6" s="5">
        <f t="shared" si="3"/>
        <v>1103.75</v>
      </c>
      <c r="O6" s="5">
        <f t="shared" si="4"/>
        <v>91.979166666666671</v>
      </c>
      <c r="P6" s="23"/>
    </row>
    <row r="7" spans="1:16" x14ac:dyDescent="0.25">
      <c r="A7" t="s">
        <v>78</v>
      </c>
      <c r="B7">
        <v>1</v>
      </c>
      <c r="C7" s="33">
        <v>90000</v>
      </c>
      <c r="D7" s="15">
        <v>1</v>
      </c>
      <c r="E7" s="33">
        <v>150000</v>
      </c>
      <c r="F7">
        <v>1</v>
      </c>
      <c r="G7" s="33">
        <v>200000</v>
      </c>
      <c r="H7" s="33">
        <f t="shared" si="0"/>
        <v>440000</v>
      </c>
      <c r="I7" s="15">
        <f t="shared" si="1"/>
        <v>3</v>
      </c>
      <c r="J7" s="26">
        <v>1500</v>
      </c>
      <c r="K7" s="25">
        <v>0</v>
      </c>
      <c r="L7" s="37">
        <f t="shared" si="2"/>
        <v>441500</v>
      </c>
      <c r="M7">
        <v>500</v>
      </c>
      <c r="N7" s="5">
        <f t="shared" si="3"/>
        <v>883</v>
      </c>
      <c r="O7" s="5">
        <f t="shared" si="4"/>
        <v>73.583333333333329</v>
      </c>
    </row>
    <row r="8" spans="1:16" x14ac:dyDescent="0.25">
      <c r="A8" t="s">
        <v>78</v>
      </c>
      <c r="B8">
        <v>1</v>
      </c>
      <c r="C8" s="33">
        <v>90000</v>
      </c>
      <c r="D8" s="15">
        <v>1</v>
      </c>
      <c r="E8" s="33">
        <v>150000</v>
      </c>
      <c r="F8">
        <v>1</v>
      </c>
      <c r="G8" s="33">
        <v>200000</v>
      </c>
      <c r="H8" s="33">
        <f t="shared" si="0"/>
        <v>440000</v>
      </c>
      <c r="I8" s="15">
        <f t="shared" si="1"/>
        <v>3</v>
      </c>
      <c r="J8" s="26">
        <v>1500</v>
      </c>
      <c r="K8" s="25">
        <v>0</v>
      </c>
      <c r="L8" s="37">
        <f t="shared" si="2"/>
        <v>441500</v>
      </c>
      <c r="M8">
        <v>600</v>
      </c>
      <c r="N8" s="5">
        <f t="shared" si="3"/>
        <v>735.83333333333337</v>
      </c>
      <c r="O8" s="5">
        <f t="shared" si="4"/>
        <v>61.31944444444445</v>
      </c>
    </row>
    <row r="9" spans="1:16" x14ac:dyDescent="0.25">
      <c r="A9" t="s">
        <v>78</v>
      </c>
      <c r="B9">
        <v>1</v>
      </c>
      <c r="C9" s="33">
        <v>90000</v>
      </c>
      <c r="D9" s="15">
        <v>1</v>
      </c>
      <c r="E9" s="33">
        <v>150000</v>
      </c>
      <c r="F9">
        <v>1</v>
      </c>
      <c r="G9" s="33">
        <v>200000</v>
      </c>
      <c r="H9" s="33">
        <f t="shared" si="0"/>
        <v>440000</v>
      </c>
      <c r="I9" s="15">
        <f t="shared" si="1"/>
        <v>3</v>
      </c>
      <c r="J9" s="26">
        <v>1500</v>
      </c>
      <c r="K9" s="25">
        <v>0</v>
      </c>
      <c r="L9" s="37">
        <f t="shared" si="2"/>
        <v>441500</v>
      </c>
      <c r="M9">
        <v>700</v>
      </c>
      <c r="N9" s="5">
        <f t="shared" si="3"/>
        <v>630.71428571428567</v>
      </c>
      <c r="O9" s="5">
        <f t="shared" si="4"/>
        <v>52.559523809523803</v>
      </c>
    </row>
    <row r="10" spans="1:16" x14ac:dyDescent="0.25">
      <c r="A10" t="s">
        <v>78</v>
      </c>
      <c r="B10">
        <v>1</v>
      </c>
      <c r="C10" s="33">
        <v>90000</v>
      </c>
      <c r="D10" s="15">
        <v>1</v>
      </c>
      <c r="E10" s="33">
        <v>150000</v>
      </c>
      <c r="F10">
        <v>1</v>
      </c>
      <c r="G10" s="33">
        <v>200000</v>
      </c>
      <c r="H10" s="33">
        <f t="shared" si="0"/>
        <v>440000</v>
      </c>
      <c r="I10" s="15">
        <f t="shared" si="1"/>
        <v>3</v>
      </c>
      <c r="J10" s="26">
        <v>1500</v>
      </c>
      <c r="K10" s="25">
        <v>0</v>
      </c>
      <c r="L10" s="37">
        <f t="shared" si="2"/>
        <v>441500</v>
      </c>
      <c r="M10">
        <v>800</v>
      </c>
      <c r="N10" s="5">
        <f t="shared" si="3"/>
        <v>551.875</v>
      </c>
      <c r="O10" s="5">
        <f t="shared" si="4"/>
        <v>45.989583333333336</v>
      </c>
    </row>
    <row r="11" spans="1:16" x14ac:dyDescent="0.25">
      <c r="A11" t="s">
        <v>80</v>
      </c>
      <c r="B11">
        <v>1</v>
      </c>
      <c r="C11" s="33">
        <v>90000</v>
      </c>
      <c r="D11" s="15">
        <v>1</v>
      </c>
      <c r="E11" s="33">
        <v>150000</v>
      </c>
      <c r="F11">
        <v>1</v>
      </c>
      <c r="G11" s="33">
        <v>200000</v>
      </c>
      <c r="H11" s="33">
        <f t="shared" si="0"/>
        <v>440000</v>
      </c>
      <c r="I11" s="15">
        <f t="shared" si="1"/>
        <v>3</v>
      </c>
      <c r="J11" s="26">
        <v>1500</v>
      </c>
      <c r="K11" s="25">
        <v>0</v>
      </c>
      <c r="L11" s="37">
        <f t="shared" si="2"/>
        <v>441500</v>
      </c>
      <c r="M11">
        <v>900</v>
      </c>
      <c r="N11" s="5">
        <f t="shared" si="3"/>
        <v>490.55555555555554</v>
      </c>
      <c r="O11" s="5">
        <f t="shared" si="4"/>
        <v>40.879629629629626</v>
      </c>
    </row>
    <row r="12" spans="1:16" x14ac:dyDescent="0.25">
      <c r="A12" t="s">
        <v>80</v>
      </c>
      <c r="B12">
        <v>1</v>
      </c>
      <c r="C12" s="33">
        <v>90000</v>
      </c>
      <c r="D12" s="15">
        <v>1</v>
      </c>
      <c r="E12" s="33">
        <v>150000</v>
      </c>
      <c r="F12">
        <v>1</v>
      </c>
      <c r="G12" s="33">
        <v>200000</v>
      </c>
      <c r="H12" s="33">
        <f t="shared" si="0"/>
        <v>440000</v>
      </c>
      <c r="I12" s="15">
        <f t="shared" si="1"/>
        <v>3</v>
      </c>
      <c r="J12" s="26">
        <v>1500</v>
      </c>
      <c r="K12" s="25">
        <v>0</v>
      </c>
      <c r="L12" s="37">
        <f t="shared" si="2"/>
        <v>441500</v>
      </c>
      <c r="M12">
        <v>1000</v>
      </c>
      <c r="N12" s="5">
        <f t="shared" si="3"/>
        <v>441.5</v>
      </c>
      <c r="O12" s="5">
        <f t="shared" si="4"/>
        <v>36.791666666666664</v>
      </c>
    </row>
    <row r="13" spans="1:16" x14ac:dyDescent="0.25">
      <c r="A13" t="s">
        <v>80</v>
      </c>
      <c r="B13">
        <v>1</v>
      </c>
      <c r="C13" s="33">
        <v>90000</v>
      </c>
      <c r="D13" s="15">
        <v>2</v>
      </c>
      <c r="E13" s="33">
        <v>150000</v>
      </c>
      <c r="F13">
        <v>1</v>
      </c>
      <c r="G13" s="33">
        <v>200000</v>
      </c>
      <c r="H13" s="33">
        <f t="shared" si="0"/>
        <v>590000</v>
      </c>
      <c r="I13" s="15">
        <f t="shared" si="1"/>
        <v>4</v>
      </c>
      <c r="J13" s="26">
        <v>1500</v>
      </c>
      <c r="K13" s="25">
        <v>0</v>
      </c>
      <c r="L13" s="37">
        <f t="shared" si="2"/>
        <v>591500</v>
      </c>
      <c r="M13">
        <v>1100</v>
      </c>
      <c r="N13" s="5">
        <f t="shared" si="3"/>
        <v>537.72727272727275</v>
      </c>
      <c r="O13" s="5">
        <f t="shared" si="4"/>
        <v>44.810606060606062</v>
      </c>
    </row>
    <row r="14" spans="1:16" x14ac:dyDescent="0.25">
      <c r="A14" t="s">
        <v>77</v>
      </c>
      <c r="B14">
        <v>1</v>
      </c>
      <c r="C14" s="33">
        <v>90000</v>
      </c>
      <c r="D14" s="15">
        <v>2</v>
      </c>
      <c r="E14" s="33">
        <v>150000</v>
      </c>
      <c r="F14">
        <v>1</v>
      </c>
      <c r="G14" s="33">
        <v>200000</v>
      </c>
      <c r="H14" s="33">
        <f t="shared" si="0"/>
        <v>590000</v>
      </c>
      <c r="I14" s="15">
        <f t="shared" si="1"/>
        <v>4</v>
      </c>
      <c r="J14" s="26">
        <v>1500</v>
      </c>
      <c r="K14" s="25">
        <v>0</v>
      </c>
      <c r="L14" s="37">
        <f t="shared" si="2"/>
        <v>591500</v>
      </c>
      <c r="M14">
        <v>1200</v>
      </c>
      <c r="N14" s="5">
        <f t="shared" si="3"/>
        <v>492.91666666666669</v>
      </c>
      <c r="O14" s="5">
        <f t="shared" si="4"/>
        <v>41.076388888888893</v>
      </c>
    </row>
    <row r="15" spans="1:16" x14ac:dyDescent="0.25">
      <c r="A15" t="s">
        <v>77</v>
      </c>
      <c r="B15">
        <v>1</v>
      </c>
      <c r="C15" s="33">
        <v>90000</v>
      </c>
      <c r="D15" s="15">
        <v>2</v>
      </c>
      <c r="E15" s="33">
        <v>150000</v>
      </c>
      <c r="F15">
        <v>1</v>
      </c>
      <c r="G15" s="33">
        <v>200000</v>
      </c>
      <c r="H15" s="33">
        <f t="shared" si="0"/>
        <v>590000</v>
      </c>
      <c r="I15" s="15">
        <f t="shared" si="1"/>
        <v>4</v>
      </c>
      <c r="J15" s="26">
        <v>1500</v>
      </c>
      <c r="K15" s="25">
        <v>0</v>
      </c>
      <c r="L15" s="37">
        <f t="shared" si="2"/>
        <v>591500</v>
      </c>
      <c r="M15">
        <v>1300</v>
      </c>
      <c r="N15" s="5">
        <f t="shared" si="3"/>
        <v>455</v>
      </c>
      <c r="O15" s="5">
        <f t="shared" si="4"/>
        <v>37.916666666666664</v>
      </c>
    </row>
    <row r="16" spans="1:16" x14ac:dyDescent="0.25">
      <c r="A16" t="s">
        <v>77</v>
      </c>
      <c r="B16">
        <v>1</v>
      </c>
      <c r="C16" s="33">
        <v>90000</v>
      </c>
      <c r="D16" s="15">
        <v>2</v>
      </c>
      <c r="E16" s="33">
        <v>150000</v>
      </c>
      <c r="F16">
        <v>1</v>
      </c>
      <c r="G16" s="33">
        <v>200000</v>
      </c>
      <c r="H16" s="33">
        <f t="shared" si="0"/>
        <v>590000</v>
      </c>
      <c r="I16" s="15">
        <f t="shared" si="1"/>
        <v>4</v>
      </c>
      <c r="J16" s="26">
        <v>1500</v>
      </c>
      <c r="K16" s="25">
        <v>0</v>
      </c>
      <c r="L16" s="37">
        <f t="shared" si="2"/>
        <v>591500</v>
      </c>
      <c r="M16">
        <v>1400</v>
      </c>
      <c r="N16" s="5">
        <f t="shared" si="3"/>
        <v>422.5</v>
      </c>
      <c r="O16" s="5">
        <f t="shared" si="4"/>
        <v>35.208333333333336</v>
      </c>
    </row>
    <row r="17" spans="1:15" x14ac:dyDescent="0.25">
      <c r="A17" t="s">
        <v>77</v>
      </c>
      <c r="B17">
        <v>1</v>
      </c>
      <c r="C17" s="33">
        <v>90000</v>
      </c>
      <c r="D17" s="15">
        <v>3</v>
      </c>
      <c r="E17" s="33">
        <v>150000</v>
      </c>
      <c r="F17">
        <v>1</v>
      </c>
      <c r="G17" s="33">
        <v>200000</v>
      </c>
      <c r="H17" s="33">
        <f t="shared" si="0"/>
        <v>740000</v>
      </c>
      <c r="I17" s="15">
        <f t="shared" si="1"/>
        <v>5</v>
      </c>
      <c r="J17" s="26">
        <v>1500</v>
      </c>
      <c r="K17" s="25">
        <v>0</v>
      </c>
      <c r="L17" s="37">
        <f t="shared" si="2"/>
        <v>741500</v>
      </c>
      <c r="M17">
        <v>1500</v>
      </c>
      <c r="N17" s="5">
        <f t="shared" si="3"/>
        <v>494.33333333333331</v>
      </c>
      <c r="O17" s="5">
        <f t="shared" si="4"/>
        <v>41.194444444444443</v>
      </c>
    </row>
    <row r="18" spans="1:15" x14ac:dyDescent="0.25">
      <c r="A18" t="s">
        <v>77</v>
      </c>
      <c r="B18">
        <v>1</v>
      </c>
      <c r="C18" s="33">
        <v>90000</v>
      </c>
      <c r="D18" s="15">
        <v>3</v>
      </c>
      <c r="E18" s="33">
        <v>150000</v>
      </c>
      <c r="F18">
        <v>1</v>
      </c>
      <c r="G18" s="33">
        <v>200000</v>
      </c>
      <c r="H18" s="33">
        <f t="shared" si="0"/>
        <v>740000</v>
      </c>
      <c r="I18" s="15">
        <f t="shared" si="1"/>
        <v>5</v>
      </c>
      <c r="J18" s="26">
        <v>1500</v>
      </c>
      <c r="K18" s="25">
        <v>0</v>
      </c>
      <c r="L18" s="37">
        <f t="shared" si="2"/>
        <v>741500</v>
      </c>
      <c r="M18">
        <v>1600</v>
      </c>
      <c r="N18" s="5">
        <f t="shared" si="3"/>
        <v>463.4375</v>
      </c>
      <c r="O18" s="5">
        <f t="shared" si="4"/>
        <v>38.619791666666664</v>
      </c>
    </row>
    <row r="19" spans="1:15" x14ac:dyDescent="0.25">
      <c r="A19" t="s">
        <v>81</v>
      </c>
      <c r="B19">
        <v>1</v>
      </c>
      <c r="C19" s="33">
        <v>90000</v>
      </c>
      <c r="D19" s="15">
        <v>3</v>
      </c>
      <c r="E19" s="33">
        <v>150000</v>
      </c>
      <c r="F19">
        <v>1</v>
      </c>
      <c r="G19" s="33">
        <v>200000</v>
      </c>
      <c r="H19" s="33">
        <f t="shared" si="0"/>
        <v>740000</v>
      </c>
      <c r="I19" s="15">
        <f t="shared" si="1"/>
        <v>5</v>
      </c>
      <c r="J19" s="26">
        <v>1500</v>
      </c>
      <c r="K19" s="25">
        <v>0</v>
      </c>
      <c r="L19" s="37">
        <f t="shared" si="2"/>
        <v>741500</v>
      </c>
      <c r="M19">
        <v>1700</v>
      </c>
      <c r="N19" s="5">
        <f t="shared" si="3"/>
        <v>436.1764705882353</v>
      </c>
      <c r="O19" s="5">
        <f t="shared" si="4"/>
        <v>36.348039215686278</v>
      </c>
    </row>
    <row r="20" spans="1:15" x14ac:dyDescent="0.25">
      <c r="A20" t="s">
        <v>81</v>
      </c>
      <c r="B20">
        <v>1</v>
      </c>
      <c r="C20" s="33">
        <v>90000</v>
      </c>
      <c r="D20" s="15">
        <v>3</v>
      </c>
      <c r="E20" s="33">
        <v>150000</v>
      </c>
      <c r="F20">
        <v>1</v>
      </c>
      <c r="G20" s="33">
        <v>200000</v>
      </c>
      <c r="H20" s="33">
        <f t="shared" si="0"/>
        <v>740000</v>
      </c>
      <c r="I20" s="15">
        <f t="shared" si="1"/>
        <v>5</v>
      </c>
      <c r="J20" s="26">
        <v>1500</v>
      </c>
      <c r="K20" s="25">
        <v>0</v>
      </c>
      <c r="L20" s="37">
        <f t="shared" si="2"/>
        <v>741500</v>
      </c>
      <c r="M20">
        <v>1800</v>
      </c>
      <c r="N20" s="5">
        <f t="shared" si="3"/>
        <v>411.94444444444446</v>
      </c>
      <c r="O20" s="5">
        <f t="shared" si="4"/>
        <v>34.328703703703702</v>
      </c>
    </row>
    <row r="21" spans="1:15" x14ac:dyDescent="0.25">
      <c r="A21" t="s">
        <v>81</v>
      </c>
      <c r="B21">
        <v>1</v>
      </c>
      <c r="C21" s="33">
        <v>90000</v>
      </c>
      <c r="D21" s="15">
        <v>3</v>
      </c>
      <c r="E21" s="33">
        <v>150000</v>
      </c>
      <c r="F21">
        <v>1</v>
      </c>
      <c r="G21" s="33">
        <v>200000</v>
      </c>
      <c r="H21" s="33">
        <f t="shared" si="0"/>
        <v>740000</v>
      </c>
      <c r="I21" s="15">
        <f t="shared" si="1"/>
        <v>5</v>
      </c>
      <c r="J21" s="26">
        <v>1500</v>
      </c>
      <c r="K21" s="25">
        <v>0</v>
      </c>
      <c r="L21" s="37">
        <f t="shared" si="2"/>
        <v>741500</v>
      </c>
      <c r="M21">
        <v>1900</v>
      </c>
      <c r="N21" s="5">
        <f t="shared" si="3"/>
        <v>390.26315789473682</v>
      </c>
      <c r="O21" s="5">
        <f t="shared" si="4"/>
        <v>32.521929824561404</v>
      </c>
    </row>
    <row r="22" spans="1:15" x14ac:dyDescent="0.25">
      <c r="A22" t="s">
        <v>81</v>
      </c>
      <c r="B22">
        <v>1</v>
      </c>
      <c r="C22" s="33">
        <v>90000</v>
      </c>
      <c r="D22" s="15">
        <v>4</v>
      </c>
      <c r="E22" s="33">
        <v>150000</v>
      </c>
      <c r="F22">
        <v>1</v>
      </c>
      <c r="G22" s="33">
        <v>200000</v>
      </c>
      <c r="H22" s="33">
        <f t="shared" si="0"/>
        <v>890000</v>
      </c>
      <c r="I22" s="15">
        <f t="shared" si="1"/>
        <v>6</v>
      </c>
      <c r="J22" s="26">
        <v>1500</v>
      </c>
      <c r="K22" s="25">
        <v>0</v>
      </c>
      <c r="L22" s="37">
        <f t="shared" si="2"/>
        <v>891500</v>
      </c>
      <c r="M22">
        <v>2000</v>
      </c>
      <c r="N22" s="5">
        <f t="shared" si="3"/>
        <v>445.75</v>
      </c>
      <c r="O22" s="5">
        <f t="shared" si="4"/>
        <v>37.145833333333336</v>
      </c>
    </row>
  </sheetData>
  <mergeCells count="1">
    <mergeCell ref="B1:H1"/>
  </mergeCells>
  <pageMargins left="0.7" right="0.7" top="0.75" bottom="0.75" header="0.3" footer="0.3"/>
  <pageSetup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5" sqref="F5"/>
    </sheetView>
  </sheetViews>
  <sheetFormatPr defaultRowHeight="15" x14ac:dyDescent="0.25"/>
  <cols>
    <col min="4" max="4" width="14" customWidth="1"/>
    <col min="5" max="5" width="11.85546875" customWidth="1"/>
    <col min="6" max="6" width="10.85546875" customWidth="1"/>
  </cols>
  <sheetData>
    <row r="1" spans="1:9" x14ac:dyDescent="0.25">
      <c r="A1" t="s">
        <v>56</v>
      </c>
    </row>
    <row r="2" spans="1:9" x14ac:dyDescent="0.25">
      <c r="C2" t="s">
        <v>57</v>
      </c>
      <c r="D2" t="s">
        <v>58</v>
      </c>
      <c r="E2" t="s">
        <v>59</v>
      </c>
      <c r="F2" t="s">
        <v>60</v>
      </c>
      <c r="G2" t="s">
        <v>1</v>
      </c>
    </row>
    <row r="3" spans="1:9" x14ac:dyDescent="0.25">
      <c r="A3" t="s">
        <v>61</v>
      </c>
      <c r="B3">
        <f>18*40</f>
        <v>720</v>
      </c>
      <c r="C3" s="26">
        <f>115*B3</f>
        <v>82800</v>
      </c>
      <c r="D3" s="26">
        <f>B3*100/2</f>
        <v>36000</v>
      </c>
      <c r="E3" s="26">
        <f>B3*100/2</f>
        <v>36000</v>
      </c>
      <c r="F3" s="26">
        <f>B3*30</f>
        <v>21600</v>
      </c>
      <c r="G3" s="26">
        <f>90000*(18/52)</f>
        <v>31153.846153846152</v>
      </c>
      <c r="H3" s="26"/>
      <c r="I3" s="26">
        <f>SUM(C3:G3)</f>
        <v>207553.84615384616</v>
      </c>
    </row>
    <row r="4" spans="1:9" x14ac:dyDescent="0.25">
      <c r="B4">
        <f>13*40</f>
        <v>520</v>
      </c>
      <c r="C4" s="26">
        <f>B4*115*0.5</f>
        <v>29900</v>
      </c>
      <c r="D4" s="26"/>
      <c r="E4" s="26"/>
      <c r="F4" s="26">
        <f>B4*33</f>
        <v>17160</v>
      </c>
      <c r="G4" s="26">
        <f>B4*115*0.25</f>
        <v>14950</v>
      </c>
      <c r="H4" s="26"/>
      <c r="I4" s="26"/>
    </row>
    <row r="5" spans="1:9" x14ac:dyDescent="0.25">
      <c r="C5" s="26"/>
      <c r="D5" s="26"/>
      <c r="E5" s="26"/>
      <c r="F5" s="26"/>
      <c r="G5" s="26"/>
      <c r="H5" s="26"/>
      <c r="I5" s="26"/>
    </row>
    <row r="6" spans="1:9" x14ac:dyDescent="0.25">
      <c r="C6" s="26"/>
      <c r="D6" s="26"/>
      <c r="E6" s="26"/>
      <c r="F6" s="26"/>
      <c r="G6" s="26"/>
      <c r="H6" s="26"/>
      <c r="I6" s="26"/>
    </row>
    <row r="7" spans="1:9" x14ac:dyDescent="0.25">
      <c r="A7" t="s">
        <v>63</v>
      </c>
      <c r="C7" s="26"/>
      <c r="D7" s="26"/>
      <c r="E7" s="26"/>
      <c r="F7" s="26"/>
      <c r="G7" s="26"/>
      <c r="H7" s="26"/>
      <c r="I7" s="26"/>
    </row>
    <row r="8" spans="1:9" x14ac:dyDescent="0.25">
      <c r="B8" t="s">
        <v>64</v>
      </c>
      <c r="C8" t="s">
        <v>65</v>
      </c>
      <c r="D8" t="s">
        <v>66</v>
      </c>
    </row>
    <row r="11" spans="1:9" x14ac:dyDescent="0.25">
      <c r="B11">
        <v>227.5</v>
      </c>
      <c r="I11" s="26">
        <f>(B11+B12)*115</f>
        <v>29612.5</v>
      </c>
    </row>
    <row r="12" spans="1:9" x14ac:dyDescent="0.25">
      <c r="B12">
        <v>30</v>
      </c>
    </row>
    <row r="17" spans="1:9" x14ac:dyDescent="0.25">
      <c r="A17" t="s">
        <v>67</v>
      </c>
      <c r="D17" t="s">
        <v>69</v>
      </c>
      <c r="E17" t="s">
        <v>72</v>
      </c>
      <c r="F17" t="s">
        <v>73</v>
      </c>
    </row>
    <row r="18" spans="1:9" x14ac:dyDescent="0.25">
      <c r="A18" t="s">
        <v>68</v>
      </c>
      <c r="D18">
        <v>10</v>
      </c>
      <c r="F18">
        <f>D18*52</f>
        <v>520</v>
      </c>
    </row>
    <row r="19" spans="1:9" x14ac:dyDescent="0.25">
      <c r="A19" t="s">
        <v>70</v>
      </c>
      <c r="E19">
        <v>40</v>
      </c>
      <c r="F19">
        <f>E19*4</f>
        <v>160</v>
      </c>
    </row>
    <row r="20" spans="1:9" x14ac:dyDescent="0.25">
      <c r="A20" t="s">
        <v>71</v>
      </c>
      <c r="F20">
        <v>40</v>
      </c>
    </row>
    <row r="21" spans="1:9" x14ac:dyDescent="0.25">
      <c r="A21" t="s">
        <v>74</v>
      </c>
      <c r="F21">
        <f>40*8</f>
        <v>320</v>
      </c>
    </row>
    <row r="22" spans="1:9" x14ac:dyDescent="0.25">
      <c r="F22">
        <f>SUM(F18:F21)</f>
        <v>1040</v>
      </c>
      <c r="H22" t="s">
        <v>75</v>
      </c>
      <c r="I22">
        <f>F22*100</f>
        <v>104000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2" sqref="G22"/>
    </sheetView>
  </sheetViews>
  <sheetFormatPr defaultRowHeight="15" x14ac:dyDescent="0.25"/>
  <cols>
    <col min="1" max="2" width="18.5703125" customWidth="1"/>
    <col min="3" max="3" width="17.85546875" bestFit="1" customWidth="1"/>
    <col min="5" max="5" width="12.7109375" bestFit="1" customWidth="1"/>
  </cols>
  <sheetData>
    <row r="1" spans="1:8" ht="23.25" x14ac:dyDescent="0.35">
      <c r="A1" s="13" t="s">
        <v>10</v>
      </c>
      <c r="B1" s="13"/>
    </row>
    <row r="2" spans="1:8" x14ac:dyDescent="0.25">
      <c r="A2" s="3"/>
      <c r="B2" s="3"/>
      <c r="C2" s="3" t="s">
        <v>11</v>
      </c>
      <c r="D2" s="3"/>
      <c r="E2" s="3" t="s">
        <v>6</v>
      </c>
    </row>
    <row r="3" spans="1:8" x14ac:dyDescent="0.25">
      <c r="A3" t="s">
        <v>34</v>
      </c>
      <c r="C3">
        <v>100</v>
      </c>
    </row>
    <row r="4" spans="1:8" x14ac:dyDescent="0.25">
      <c r="A4" t="s">
        <v>14</v>
      </c>
      <c r="C4" s="26">
        <v>24000000</v>
      </c>
      <c r="E4" s="4">
        <f>C4/12</f>
        <v>2000000</v>
      </c>
    </row>
    <row r="5" spans="1:8" x14ac:dyDescent="0.25">
      <c r="A5" t="s">
        <v>7</v>
      </c>
      <c r="C5" s="26">
        <f>C3*512</f>
        <v>51200</v>
      </c>
      <c r="E5" s="4">
        <f>C5/36</f>
        <v>1422.2222222222222</v>
      </c>
      <c r="G5" t="s">
        <v>16</v>
      </c>
    </row>
    <row r="6" spans="1:8" x14ac:dyDescent="0.25">
      <c r="A6" t="s">
        <v>8</v>
      </c>
      <c r="C6" s="26">
        <v>60000</v>
      </c>
      <c r="E6" s="4">
        <f>C6/12</f>
        <v>5000</v>
      </c>
    </row>
    <row r="7" spans="1:8" x14ac:dyDescent="0.25">
      <c r="A7" t="s">
        <v>9</v>
      </c>
      <c r="B7" s="2">
        <v>0.1</v>
      </c>
      <c r="C7" s="26">
        <f>C4*B7</f>
        <v>2400000</v>
      </c>
      <c r="E7" s="4">
        <f>C7/12</f>
        <v>200000</v>
      </c>
    </row>
    <row r="8" spans="1:8" x14ac:dyDescent="0.25">
      <c r="A8" t="s">
        <v>13</v>
      </c>
      <c r="B8" s="2">
        <v>0.5</v>
      </c>
      <c r="C8" s="26">
        <f>E4*B8*2</f>
        <v>2000000</v>
      </c>
      <c r="E8" s="4">
        <f>E4*B8</f>
        <v>1000000</v>
      </c>
      <c r="G8" t="s">
        <v>12</v>
      </c>
    </row>
    <row r="9" spans="1:8" x14ac:dyDescent="0.25">
      <c r="A9" t="s">
        <v>24</v>
      </c>
      <c r="C9" s="26">
        <f>C5+C6+C8</f>
        <v>2111200</v>
      </c>
      <c r="E9" s="4">
        <f>E6+E5</f>
        <v>6422.2222222222226</v>
      </c>
    </row>
    <row r="10" spans="1:8" x14ac:dyDescent="0.25">
      <c r="C10" s="4"/>
      <c r="E10" s="4"/>
    </row>
    <row r="11" spans="1:8" ht="21" x14ac:dyDescent="0.35">
      <c r="A11" s="11" t="s">
        <v>23</v>
      </c>
      <c r="B11" s="11"/>
      <c r="C11" s="11"/>
      <c r="D11" s="11"/>
      <c r="E11" s="12">
        <f>E8/(E7-E6-E5)</f>
        <v>5.1658822178854322</v>
      </c>
      <c r="F11" s="11" t="s">
        <v>15</v>
      </c>
      <c r="G11" s="11"/>
      <c r="H11" s="11"/>
    </row>
    <row r="12" spans="1:8" ht="21" x14ac:dyDescent="0.35">
      <c r="A12" s="9" t="s">
        <v>0</v>
      </c>
      <c r="B12" s="9"/>
      <c r="C12" s="10">
        <f>(C7-(C8+C9))/(C8+C9)</f>
        <v>-0.4162288382953882</v>
      </c>
      <c r="D12" s="7"/>
      <c r="E12" s="7"/>
      <c r="F12" s="6"/>
      <c r="G12" s="6"/>
      <c r="H12" s="6"/>
    </row>
    <row r="13" spans="1:8" x14ac:dyDescent="0.25">
      <c r="A13" s="3" t="s">
        <v>17</v>
      </c>
      <c r="B13" s="3"/>
      <c r="C13" s="3"/>
      <c r="D13" s="3"/>
      <c r="E13" s="8">
        <f>E7</f>
        <v>200000</v>
      </c>
      <c r="F13" s="3" t="s">
        <v>18</v>
      </c>
      <c r="G13" s="3"/>
      <c r="H1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1" sqref="A11"/>
    </sheetView>
  </sheetViews>
  <sheetFormatPr defaultRowHeight="15" x14ac:dyDescent="0.25"/>
  <cols>
    <col min="1" max="1" width="30.42578125" customWidth="1"/>
  </cols>
  <sheetData>
    <row r="1" spans="1:2" x14ac:dyDescent="0.25">
      <c r="A1" s="29" t="s">
        <v>26</v>
      </c>
    </row>
    <row r="3" spans="1:2" x14ac:dyDescent="0.25">
      <c r="A3" t="s">
        <v>27</v>
      </c>
      <c r="B3">
        <v>700</v>
      </c>
    </row>
    <row r="4" spans="1:2" x14ac:dyDescent="0.25">
      <c r="A4" t="s">
        <v>28</v>
      </c>
    </row>
    <row r="5" spans="1:2" x14ac:dyDescent="0.25">
      <c r="A5" t="s">
        <v>29</v>
      </c>
      <c r="B5">
        <v>30</v>
      </c>
    </row>
    <row r="6" spans="1:2" x14ac:dyDescent="0.25">
      <c r="A6" t="s">
        <v>30</v>
      </c>
      <c r="B6">
        <v>20</v>
      </c>
    </row>
    <row r="7" spans="1:2" x14ac:dyDescent="0.25">
      <c r="A7" t="s">
        <v>31</v>
      </c>
    </row>
    <row r="8" spans="1:2" x14ac:dyDescent="0.25">
      <c r="A8" t="s">
        <v>32</v>
      </c>
      <c r="B8">
        <v>45</v>
      </c>
    </row>
    <row r="9" spans="1:2" x14ac:dyDescent="0.25">
      <c r="A9" t="s">
        <v>33</v>
      </c>
      <c r="B9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G23" sqref="G23"/>
    </sheetView>
  </sheetViews>
  <sheetFormatPr defaultRowHeight="15" x14ac:dyDescent="0.25"/>
  <cols>
    <col min="1" max="1" width="35.7109375" bestFit="1" customWidth="1"/>
    <col min="2" max="2" width="10.5703125" customWidth="1"/>
    <col min="3" max="3" width="10.28515625" customWidth="1"/>
    <col min="7" max="7" width="16.7109375" customWidth="1"/>
    <col min="8" max="8" width="20.140625" customWidth="1"/>
  </cols>
  <sheetData>
    <row r="1" spans="1:9" x14ac:dyDescent="0.25">
      <c r="A1" t="s">
        <v>37</v>
      </c>
    </row>
    <row r="4" spans="1:9" ht="30" x14ac:dyDescent="0.25">
      <c r="A4" s="41" t="s">
        <v>47</v>
      </c>
      <c r="B4" s="41"/>
      <c r="G4" s="30" t="s">
        <v>48</v>
      </c>
      <c r="H4" s="31" t="s">
        <v>49</v>
      </c>
    </row>
    <row r="5" spans="1:9" x14ac:dyDescent="0.25">
      <c r="A5" s="29" t="s">
        <v>38</v>
      </c>
      <c r="B5" s="29" t="s">
        <v>44</v>
      </c>
    </row>
    <row r="6" spans="1:9" x14ac:dyDescent="0.25">
      <c r="A6" t="s">
        <v>39</v>
      </c>
      <c r="B6">
        <v>1</v>
      </c>
      <c r="G6">
        <v>2</v>
      </c>
      <c r="H6" t="s">
        <v>5</v>
      </c>
    </row>
    <row r="7" spans="1:9" x14ac:dyDescent="0.25">
      <c r="A7" t="s">
        <v>40</v>
      </c>
      <c r="B7">
        <v>1</v>
      </c>
      <c r="G7">
        <v>4</v>
      </c>
      <c r="H7" t="s">
        <v>5</v>
      </c>
    </row>
    <row r="8" spans="1:9" x14ac:dyDescent="0.25">
      <c r="A8" t="s">
        <v>41</v>
      </c>
      <c r="B8">
        <v>5</v>
      </c>
      <c r="G8">
        <v>20</v>
      </c>
      <c r="H8" t="s">
        <v>5</v>
      </c>
    </row>
    <row r="9" spans="1:9" x14ac:dyDescent="0.25">
      <c r="A9" t="s">
        <v>42</v>
      </c>
      <c r="B9">
        <v>6</v>
      </c>
      <c r="G9">
        <v>50</v>
      </c>
      <c r="H9" t="s">
        <v>2</v>
      </c>
      <c r="I9" t="s">
        <v>50</v>
      </c>
    </row>
    <row r="10" spans="1:9" x14ac:dyDescent="0.25">
      <c r="A10" t="s">
        <v>43</v>
      </c>
      <c r="B10">
        <v>1</v>
      </c>
      <c r="G10">
        <v>8</v>
      </c>
      <c r="H10" t="s">
        <v>2</v>
      </c>
    </row>
    <row r="12" spans="1:9" x14ac:dyDescent="0.25">
      <c r="B12">
        <f>SUM(B6:B11)</f>
        <v>14</v>
      </c>
      <c r="C12" t="s">
        <v>45</v>
      </c>
    </row>
    <row r="14" spans="1:9" x14ac:dyDescent="0.25">
      <c r="A14" t="s">
        <v>46</v>
      </c>
    </row>
    <row r="18" spans="7:7" x14ac:dyDescent="0.25">
      <c r="G18" t="s">
        <v>51</v>
      </c>
    </row>
    <row r="19" spans="7:7" x14ac:dyDescent="0.25">
      <c r="G19" t="s">
        <v>52</v>
      </c>
    </row>
    <row r="20" spans="7:7" x14ac:dyDescent="0.25">
      <c r="G20" t="s">
        <v>53</v>
      </c>
    </row>
    <row r="21" spans="7:7" x14ac:dyDescent="0.25">
      <c r="G21" t="s">
        <v>54</v>
      </c>
    </row>
    <row r="22" spans="7:7" x14ac:dyDescent="0.25">
      <c r="G22" t="s">
        <v>55</v>
      </c>
    </row>
  </sheetData>
  <mergeCells count="1">
    <mergeCell ref="A4:B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C259A7161F438FA784257010334D" ma:contentTypeVersion="0" ma:contentTypeDescription="Create a new document." ma:contentTypeScope="" ma:versionID="b2b09026a26ae8b88758c6f62fba2f8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c6aa9cbb78429ff5556453bce9069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4F6AA-4994-423E-85F2-C951AA726C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175533-6624-41D6-B8A6-BF12AA8A0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0DF38F-7B82-4B9C-830E-A5B8A17487A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Charge back</vt:lpstr>
      <vt:lpstr>Sheet1</vt:lpstr>
      <vt:lpstr>ROI Calculations</vt:lpstr>
      <vt:lpstr>Est. User Counts</vt:lpstr>
      <vt:lpstr>Onboarding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Mike O'Brien</cp:lastModifiedBy>
  <cp:lastPrinted>2014-07-29T17:57:37Z</cp:lastPrinted>
  <dcterms:created xsi:type="dcterms:W3CDTF">2014-06-30T20:13:00Z</dcterms:created>
  <dcterms:modified xsi:type="dcterms:W3CDTF">2014-10-01T18:29:23Z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0x010100B7D0C259A7161F438FA784257010334D</vt:lpwstr>
  </property>
</Properties>
</file>