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9AC" lockStructure="1"/>
  <bookViews>
    <workbookView windowWidth="24048" windowHeight="12300" firstSheet="1" activeTab="1"/>
  </bookViews>
  <sheets>
    <sheet name="AM100系列" sheetId="1" state="hidden" r:id="rId1"/>
    <sheet name="EM500" sheetId="2" r:id="rId2"/>
    <sheet name="EM300-NB" sheetId="5" state="hidden" r:id="rId3"/>
    <sheet name="LORA数据" sheetId="3" state="hidden" r:id="rId4"/>
    <sheet name="AM EM功耗" sheetId="4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<sst xmlns="http://schemas.openxmlformats.org/spreadsheetml/2006/main" count="237" uniqueCount="132">
  <si>
    <t>产品型号</t>
  </si>
  <si>
    <t>LORA传输间隔(s)</t>
  </si>
  <si>
    <t>LORA频段和SF选择</t>
  </si>
  <si>
    <t>LORA单次耗电量uAh</t>
  </si>
  <si>
    <t>单次总耗电量uAh(智能显示)</t>
  </si>
  <si>
    <t>单次总耗电量uAh(不含TVOC)</t>
  </si>
  <si>
    <t>单次总耗电量uAh(不含TVOC+智能显示)</t>
  </si>
  <si>
    <t>单次总耗电量uAh</t>
  </si>
  <si>
    <t>电池容量mAh</t>
  </si>
  <si>
    <t>电池寿命(天)</t>
  </si>
  <si>
    <t>电池寿命(年)</t>
  </si>
  <si>
    <t>电池寿命(天)智能显示</t>
  </si>
  <si>
    <t>电池寿命(天)不含TVOC</t>
  </si>
  <si>
    <t>电池寿命(天)不含TVOC+智能显示</t>
  </si>
  <si>
    <t>AM100</t>
  </si>
  <si>
    <t>868-SF7</t>
  </si>
  <si>
    <t>AM102</t>
  </si>
  <si>
    <t>Model</t>
  </si>
  <si>
    <t>LORA
reporting interval(s)</t>
  </si>
  <si>
    <t>LORA frequency and spreading factor
(Optional)</t>
  </si>
  <si>
    <t>Collectiong interval(s)</t>
  </si>
  <si>
    <t>传感器单次耗电量uAh</t>
  </si>
  <si>
    <t>Battery(mAh)</t>
  </si>
  <si>
    <t>Lifespan(day)</t>
  </si>
  <si>
    <t>Lifespan(year)</t>
  </si>
  <si>
    <t>EM500-SMT-EC5</t>
  </si>
  <si>
    <t>915-SF12</t>
  </si>
  <si>
    <t>EM500-SWL</t>
  </si>
  <si>
    <t>EM500-UDL</t>
  </si>
  <si>
    <t>EM500-PT100</t>
  </si>
  <si>
    <t>EM500-MEC20</t>
  </si>
  <si>
    <t>EM500-SWL(表压)</t>
  </si>
  <si>
    <t>EM500-CO2</t>
  </si>
  <si>
    <t>EM500-LGT</t>
  </si>
  <si>
    <t>EM500-PP</t>
  </si>
  <si>
    <t>915-SF7</t>
  </si>
  <si>
    <t>EM500-管道压力（联测）</t>
  </si>
  <si>
    <t>EM500-电化学</t>
  </si>
  <si>
    <t>EM500-SMT-MT05</t>
  </si>
  <si>
    <t>NB传输间隔(s)</t>
  </si>
  <si>
    <t>NB信号质量</t>
  </si>
  <si>
    <t>NB单次耗电量uAh</t>
  </si>
  <si>
    <t>阈值警报是否打开(0关闭;1打开)</t>
  </si>
  <si>
    <t>EM300-NB-温湿度</t>
  </si>
  <si>
    <t>优</t>
  </si>
  <si>
    <t>漏水触发的时间长度（s）</t>
  </si>
  <si>
    <t>EM300-NB-漏水检测</t>
  </si>
  <si>
    <t>门磁1小时内触发的次数</t>
  </si>
  <si>
    <t>EM300-NB-门磁</t>
  </si>
  <si>
    <t>EM500</t>
  </si>
  <si>
    <t>868-SF8</t>
  </si>
  <si>
    <t>差</t>
  </si>
  <si>
    <t>868-SF9</t>
  </si>
  <si>
    <t>868-SF10</t>
  </si>
  <si>
    <t>868-SF11</t>
  </si>
  <si>
    <t>868-SF12</t>
  </si>
  <si>
    <t>915-SF8</t>
  </si>
  <si>
    <t>915-SF9</t>
  </si>
  <si>
    <t>915-SF10</t>
  </si>
  <si>
    <t>915-SF11</t>
  </si>
  <si>
    <t>470-SF7</t>
  </si>
  <si>
    <t>470-SF8</t>
  </si>
  <si>
    <t>470-SF9</t>
  </si>
  <si>
    <t>470-SF10</t>
  </si>
  <si>
    <t>470-SF11</t>
  </si>
  <si>
    <t>470-SF12</t>
  </si>
  <si>
    <t>AM系列</t>
  </si>
  <si>
    <t>采集一次数据</t>
  </si>
  <si>
    <t>全刷一次</t>
  </si>
  <si>
    <t>局刷一次</t>
  </si>
  <si>
    <t>13s喂狗一次</t>
  </si>
  <si>
    <t>备注</t>
  </si>
  <si>
    <t>0.776s，464nAh</t>
  </si>
  <si>
    <t>5.8s，7.618uAh</t>
  </si>
  <si>
    <t>1.6s，1.63uAh</t>
  </si>
  <si>
    <t>77nAh</t>
  </si>
  <si>
    <t>进入低功耗24uA-26uA</t>
  </si>
  <si>
    <t>1.55s，1.553uAh</t>
  </si>
  <si>
    <t>119nAh</t>
  </si>
  <si>
    <t>进入低功耗30-34uA</t>
  </si>
  <si>
    <t>1.52s，1.1uAh（不含CO2）</t>
  </si>
  <si>
    <t>0.779s，473nAh（不含TVOC+不含CO2）</t>
  </si>
  <si>
    <t>1.5s，946nAh（不含TVOC）</t>
  </si>
  <si>
    <t>EM系列</t>
  </si>
  <si>
    <t>EM-PT100</t>
  </si>
  <si>
    <r>
      <t xml:space="preserve">1.2s，950nAh（旧数据）               
</t>
    </r>
    <r>
      <rPr>
        <sz val="12"/>
        <color theme="1"/>
        <rFont val="宋体"/>
        <charset val="134"/>
      </rPr>
      <t>2.5s,1.87uAh(新数据)</t>
    </r>
  </si>
  <si>
    <t>27nAh</t>
  </si>
  <si>
    <t>唤醒喂狗1.6mA(28ms)， 进入低功耗4.2uA，采集数据2.65mA，关机5.2uA，重新上断电也是4.2uA.</t>
  </si>
  <si>
    <t>EM-UDL</t>
  </si>
  <si>
    <t>1s，1.065uAh</t>
  </si>
  <si>
    <t>25nAh</t>
  </si>
  <si>
    <t>唤醒喂狗1.6mA(28ms)，进入低功耗5.8uA，采集数据3.9mA，关机5.7uA，重新上断电也是5.7uA</t>
  </si>
  <si>
    <t>EM-SMT-EC-5</t>
  </si>
  <si>
    <t xml:space="preserve">1.24s，2.89uAh </t>
  </si>
  <si>
    <t xml:space="preserve">唤醒喂狗1.6mA(28ms)，进入低功耗5uA，采集数9.8mA，关机5uA，断电重新上电5uA.
</t>
  </si>
  <si>
    <t>EM-SWL</t>
  </si>
  <si>
    <t xml:space="preserve">2.4s，13.357uAh（正常出货款绝压）
</t>
  </si>
  <si>
    <t>唤醒喂狗1.6mA(28ms)，进入低功耗3.8uA，采集数据21mA，关机3.8uA，断电重新上电3.8uA .</t>
  </si>
  <si>
    <t>2.4s，15.4uAh（表压）</t>
  </si>
  <si>
    <t>采集数据23.7mA，其他同上</t>
  </si>
  <si>
    <t>EM-MEC20</t>
  </si>
  <si>
    <t>2.33s，20.4uAh
每次采集都有五个小脉冲(84mA)，刚开始给传感器供电的时候也有250mA的脉冲</t>
  </si>
  <si>
    <t>26nAh</t>
  </si>
  <si>
    <t>唤醒喂狗1.6mA(28ms)，进入低功耗3.9uA，采集数据31.2mA，关机3.9uA ，断电重新上电3.9uA .</t>
  </si>
  <si>
    <t>EM-CO2</t>
  </si>
  <si>
    <t>2.5s，1.515uAh，1min采集一次</t>
  </si>
  <si>
    <t>38nAh</t>
  </si>
  <si>
    <t>唤醒喂狗1.6mA(28ms)，进入低功耗7.5uA，采集数据2.231mA，关机4.5uA，断电重新上电4.5uA.</t>
  </si>
  <si>
    <t>EM-光照</t>
  </si>
  <si>
    <t>2.5s,12.6uAh</t>
  </si>
  <si>
    <t>23nAh</t>
  </si>
  <si>
    <r>
      <t>a.唤醒喂狗1.6mA(20ms)，进入低功耗4.3uA，采集数据18.2mA</t>
    </r>
    <r>
      <rPr>
        <b/>
        <sz val="12"/>
        <color rgb="FFFF0000"/>
        <rFont val="宋体"/>
        <charset val="134"/>
      </rPr>
      <t>（电源开启瞬间电流1.1mA-时间为25ms）</t>
    </r>
    <r>
      <rPr>
        <sz val="12"/>
        <rFont val="宋体"/>
        <charset val="134"/>
      </rPr>
      <t>，关机4.3uA，断电重新上电4.3uA.
b.单测光照传感器12V供电，采集平均电流3mA，电源开断的那一瞬间382mA。
c.EM500-12V电源不带载，电源开断瞬间165mA.
d.</t>
    </r>
    <r>
      <rPr>
        <b/>
        <sz val="12"/>
        <color rgb="FFFF0000"/>
        <rFont val="宋体"/>
        <charset val="134"/>
      </rPr>
      <t>用示波器测EM500-12V电源(带载测试),13ms之后12V电源才可以稳定，建议上电后延时30ms之后再采集数据。</t>
    </r>
    <r>
      <rPr>
        <sz val="12"/>
        <rFont val="宋体"/>
        <charset val="134"/>
      </rPr>
      <t xml:space="preserve">
</t>
    </r>
  </si>
  <si>
    <t>EM-管道压力（麦克）</t>
  </si>
  <si>
    <t>2.3s，13.015uAh</t>
  </si>
  <si>
    <t>13s喂狗一次， 唤醒喂狗1.6mA(20ms)， 进入低功耗4.3uA，采集数据avg20.675mA，关机4.3uA，断电重新上电4.3uA.</t>
  </si>
  <si>
    <t>EM-管道压力（联测）</t>
  </si>
  <si>
    <t>2.3s，26.66uAh</t>
  </si>
  <si>
    <t>13s喂狗一次， 唤醒喂狗1.6mA(20ms)， 进入低功耗4.5uA，采集数据av41.3mA，关机4.3uA，断电重新上电4.3uA.</t>
  </si>
  <si>
    <t>EM-电化学</t>
  </si>
  <si>
    <t>0.587s，278nAh</t>
  </si>
  <si>
    <t>81nAh</t>
  </si>
  <si>
    <t>13s喂狗一次， 唤醒喂狗1.6mA(20ms)， 进入低功耗18.9uA，采集数据avg1.73mA，关机4.3uA，断电重新上电4.3uA.</t>
  </si>
  <si>
    <t>EM-SMT-MT05</t>
  </si>
  <si>
    <t>2.3s，7.886uAh</t>
  </si>
  <si>
    <t>27 nAh</t>
  </si>
  <si>
    <t>唤醒喂狗1.6mA(28ms)，进入低功耗4.3uA，采集数12.8mA，关机4.3uA，断电重新上电4.3uA.</t>
  </si>
  <si>
    <t>EM300-NB</t>
  </si>
  <si>
    <t>0.0776s，27nAh</t>
  </si>
  <si>
    <t>43nAh</t>
  </si>
  <si>
    <t>进入低功耗11.8uA，关机5uA</t>
  </si>
  <si>
    <t>0.12s，69nAh</t>
  </si>
  <si>
    <t>EM300-NB门磁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</si>
</sst>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2"/>
      <name val="宋体"/>
      <charset val="134"/>
    </font>
    <font>
      <b/>
      <sz val="18"/>
      <color rgb="FF0070C0"/>
      <name val="宋体"/>
      <charset val="134"/>
    </font>
    <font>
      <b/>
      <sz val="12"/>
      <color rgb="FF0070C0"/>
      <name val="宋体"/>
      <charset val="134"/>
    </font>
    <font>
      <sz val="12"/>
      <color theme="1"/>
      <name val="宋体"/>
      <charset val="134"/>
    </font>
    <font>
      <b/>
      <sz val="16"/>
      <color rgb="FF0070C0"/>
      <name val="宋体"/>
      <charset val="134"/>
    </font>
    <font>
      <b/>
      <sz val="12"/>
      <color rgb="FFFF0000"/>
      <name val="宋体"/>
      <charset val="134"/>
    </font>
    <font>
      <sz val="12"/>
      <color theme="0" tint="-0.349986266670736"/>
      <name val="宋体"/>
      <charset val="134"/>
    </font>
    <font>
      <sz val="10"/>
      <color rgb="FF000000"/>
      <name val="Microsoft YaHei"/>
      <family val="2"/>
      <charset val="134"/>
    </font>
    <font>
      <sz val="10"/>
      <name val="宋体"/>
      <charset val="134"/>
    </font>
    <font>
      <sz val="12"/>
      <color rgb="FFFF0000"/>
      <name val="宋体"/>
      <charset val="134"/>
    </font>
    <font>
      <b/>
      <sz val="1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mediumGray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17" applyNumberFormat="0" applyAlignment="0" applyProtection="0">
      <alignment vertical="center"/>
    </xf>
    <xf numFmtId="0" fontId="21" fillId="7" borderId="18" applyNumberFormat="0" applyAlignment="0" applyProtection="0">
      <alignment vertical="center"/>
    </xf>
    <xf numFmtId="0" fontId="22" fillId="7" borderId="17" applyNumberFormat="0" applyAlignment="0" applyProtection="0">
      <alignment vertical="center"/>
    </xf>
    <xf numFmtId="0" fontId="23" fillId="8" borderId="19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right" vertical="center"/>
    </xf>
    <xf numFmtId="0" fontId="7" fillId="2" borderId="5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5" fillId="0" borderId="5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 applyProtection="1">
      <alignment horizontal="center" vertical="center"/>
    </xf>
    <xf numFmtId="0" fontId="2" fillId="0" borderId="5" xfId="0" applyFont="1" applyBorder="1">
      <alignment vertical="center"/>
    </xf>
    <xf numFmtId="0" fontId="0" fillId="3" borderId="5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6A6A6"/>
      <color rgb="00FF0000"/>
      <color rgb="00FFFFFF"/>
      <color rgb="00007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635635</xdr:colOff>
      <xdr:row>3</xdr:row>
      <xdr:rowOff>46355</xdr:rowOff>
    </xdr:from>
    <xdr:to>
      <xdr:col>24</xdr:col>
      <xdr:colOff>407035</xdr:colOff>
      <xdr:row>29</xdr:row>
      <xdr:rowOff>150495</xdr:rowOff>
    </xdr:to>
    <xdr:pic>
      <xdr:nvPicPr>
        <xdr:cNvPr id="6186" name="图片 1" descr="lora功耗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54495" y="640715"/>
          <a:ext cx="10058400" cy="525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24765</xdr:colOff>
      <xdr:row>29</xdr:row>
      <xdr:rowOff>156210</xdr:rowOff>
    </xdr:from>
    <xdr:to>
      <xdr:col>15</xdr:col>
      <xdr:colOff>631190</xdr:colOff>
      <xdr:row>36</xdr:row>
      <xdr:rowOff>86360</xdr:rowOff>
    </xdr:to>
    <xdr:pic>
      <xdr:nvPicPr>
        <xdr:cNvPr id="6187" name="图片 1" descr="lora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29425" y="5901690"/>
          <a:ext cx="4035425" cy="13169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zoomScale="70" zoomScaleNormal="70" workbookViewId="0">
      <selection activeCell="C1" sqref="B1:C1"/>
    </sheetView>
  </sheetViews>
  <sheetFormatPr defaultColWidth="9" defaultRowHeight="15.6" outlineLevelRow="2"/>
  <cols>
    <col min="1" max="1" width="10.5" customWidth="1"/>
    <col min="2" max="2" width="21.0666666666667" style="2" customWidth="1"/>
    <col min="3" max="3" width="22.675" style="2" customWidth="1"/>
    <col min="4" max="5" width="28.4" style="2" customWidth="1"/>
    <col min="6" max="6" width="29.2" style="2" customWidth="1"/>
    <col min="7" max="7" width="36" style="2" customWidth="1"/>
    <col min="8" max="8" width="17.125" style="2" customWidth="1"/>
    <col min="9" max="9" width="14.25" style="2" customWidth="1"/>
    <col min="10" max="10" width="19" style="2" customWidth="1"/>
    <col min="11" max="11" width="13.3" customWidth="1"/>
    <col min="12" max="13" width="22.625" customWidth="1"/>
    <col min="14" max="14" width="31.6" customWidth="1"/>
  </cols>
  <sheetData>
    <row r="1" spans="1:14">
      <c r="A1" s="56" t="s">
        <v>0</v>
      </c>
      <c r="B1" s="40" t="s">
        <v>1</v>
      </c>
      <c r="C1" s="40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</row>
    <row r="2" spans="1:14">
      <c r="A2" s="56" t="s">
        <v>14</v>
      </c>
      <c r="B2" s="20">
        <v>600</v>
      </c>
      <c r="C2" s="20" t="s">
        <v>15</v>
      </c>
      <c r="D2" s="20">
        <f ca="1">VLOOKUP(C2,LORA数据!B:C,2,0)</f>
        <v>2.425</v>
      </c>
      <c r="E2" s="20">
        <f ca="1">3600/30*0.464+((3600/60-2)*1.63+3600/1800*7.618)*2/3+(3600/B2*D2+(3600/13*0.077))+2</f>
        <v>166.737076923077</v>
      </c>
      <c r="F2" s="57"/>
      <c r="G2" s="57"/>
      <c r="H2" s="20">
        <f ca="1">3600/30*0.464+((3600/60-2)*1.63+3600/1800*7.618)+(3600/B2*D2+(3600/13*0.077))+2</f>
        <v>203.329076923077</v>
      </c>
      <c r="I2" s="20">
        <f>2500*0.95*0.95</f>
        <v>2256.25</v>
      </c>
      <c r="J2" s="20">
        <f ca="1">I2/H2*1000/24</f>
        <v>462.355990049729</v>
      </c>
      <c r="K2" s="39">
        <f ca="1">J2/365</f>
        <v>1.26672873986227</v>
      </c>
      <c r="L2" s="39">
        <f ca="1">I2/E2*1000/24</f>
        <v>563.824305916301</v>
      </c>
      <c r="M2" s="57"/>
      <c r="N2" s="57"/>
    </row>
    <row r="3" spans="1:14">
      <c r="A3" s="56" t="s">
        <v>16</v>
      </c>
      <c r="B3" s="20">
        <v>600</v>
      </c>
      <c r="C3" s="20" t="s">
        <v>15</v>
      </c>
      <c r="D3" s="20">
        <f ca="1">VLOOKUP(C3,LORA数据!E:F,2,0)</f>
        <v>2.985</v>
      </c>
      <c r="E3" s="20">
        <f ca="1">3600/30*1.553+((3600/60-2)*1.63+3600/1800*7.618)*2/3+(3600/B3*D3+(3600/13*0.098))+2</f>
        <v>306.592461538462</v>
      </c>
      <c r="F3" s="20">
        <f ca="1">3600/30*0.946+((3600/60-2)*1.63+3600/1800*7.618)+(3600/B3*D3+(3600/13*0.098))+2</f>
        <v>270.344461538462</v>
      </c>
      <c r="G3" s="20">
        <f ca="1">3600/30*0.946+((3600/60-2)*1.63+3600/1800*7.618)*2/3+(3600/B3*D3+(3600/13*0.098))+2</f>
        <v>233.752461538462</v>
      </c>
      <c r="H3" s="20">
        <f ca="1">3600/30*1.553+((3600/60-2)*1.63+3600/1800*7.618)+(3600/B3*D3+(3600/13*0.098))+2</f>
        <v>343.184461538462</v>
      </c>
      <c r="I3" s="20">
        <f>2500*0.95*0.95</f>
        <v>2256.25</v>
      </c>
      <c r="J3" s="20">
        <f ca="1">I3/H3*1000/24</f>
        <v>273.935527981737</v>
      </c>
      <c r="K3" s="39">
        <f ca="1">J3/365</f>
        <v>0.750508295840376</v>
      </c>
      <c r="L3" s="39">
        <f ca="1">I3/E3*1000/24</f>
        <v>306.629902754061</v>
      </c>
      <c r="M3" s="39">
        <f ca="1">I3/F3*1000/24</f>
        <v>347.743083515295</v>
      </c>
      <c r="N3" s="39">
        <f ca="1">I3/G3*1000/24</f>
        <v>402.179365504556</v>
      </c>
    </row>
  </sheetData>
  <sheetCalcPr fullCalcOnLoad="1"/>
  <dataValidations count="1">
    <dataValidation type="list" allowBlank="1" showInputMessage="1" showErrorMessage="1" sqref="C2:C3">
      <formula1>LORA数据!$B$1:$B$18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B17" sqref="B17"/>
    </sheetView>
  </sheetViews>
  <sheetFormatPr defaultColWidth="9" defaultRowHeight="15.6"/>
  <cols>
    <col min="1" max="1" width="22.7" style="45" customWidth="1"/>
    <col min="2" max="2" width="14.7" style="46" customWidth="1"/>
    <col min="3" max="3" width="21.6" style="46" customWidth="1"/>
    <col min="4" max="4" width="19.375" style="47" hidden="1" customWidth="1"/>
    <col min="5" max="5" width="19.375" style="46" customWidth="1"/>
    <col min="6" max="6" width="21.5" style="47" hidden="1" customWidth="1"/>
    <col min="7" max="7" width="18.875" style="47" hidden="1" customWidth="1"/>
    <col min="8" max="8" width="12.625" style="47" customWidth="1"/>
    <col min="9" max="9" width="13.75" style="47" customWidth="1"/>
    <col min="10" max="10" width="18.1" style="47" customWidth="1"/>
    <col min="11" max="16384" width="9" style="46"/>
  </cols>
  <sheetData>
    <row r="1" s="43" customFormat="1" ht="36" spans="1:10">
      <c r="A1" s="48" t="s">
        <v>17</v>
      </c>
      <c r="B1" s="49" t="s">
        <v>18</v>
      </c>
      <c r="C1" s="49" t="s">
        <v>19</v>
      </c>
      <c r="D1" s="48" t="s">
        <v>3</v>
      </c>
      <c r="E1" s="49" t="s">
        <v>20</v>
      </c>
      <c r="F1" s="48" t="s">
        <v>21</v>
      </c>
      <c r="G1" s="48" t="s">
        <v>7</v>
      </c>
      <c r="H1" s="50" t="s">
        <v>22</v>
      </c>
      <c r="I1" s="48" t="s">
        <v>23</v>
      </c>
      <c r="J1" s="48" t="s">
        <v>24</v>
      </c>
    </row>
    <row r="2" spans="1:10">
      <c r="A2" s="51" t="s">
        <v>25</v>
      </c>
      <c r="B2" s="52">
        <v>600</v>
      </c>
      <c r="C2" s="53" t="s">
        <v>26</v>
      </c>
      <c r="D2" s="54">
        <f ca="1">VLOOKUP(C2,LORA数据!H:I,2,0)</f>
        <v>50</v>
      </c>
      <c r="E2" s="52">
        <v>600</v>
      </c>
      <c r="F2" s="55">
        <v>2.89</v>
      </c>
      <c r="G2" s="55">
        <f ca="1" t="shared" ref="G2:G7" si="0">(3600/B2*D2)+(3600/E2*F2)+(3600/13*0.025)</f>
        <v>324.263076923077</v>
      </c>
      <c r="H2" s="55">
        <v>19000</v>
      </c>
      <c r="I2" s="55">
        <f ca="1" t="shared" ref="I2:I13" si="1">H2*0.8*1000/G2/24</f>
        <v>1953.14662200524</v>
      </c>
      <c r="J2" s="55">
        <f ca="1" t="shared" ref="J2:J13" si="2">I2/365</f>
        <v>5.3510866356308</v>
      </c>
    </row>
    <row r="3" spans="1:10">
      <c r="A3" s="51" t="s">
        <v>27</v>
      </c>
      <c r="B3" s="52">
        <v>600</v>
      </c>
      <c r="C3" s="53" t="s">
        <v>26</v>
      </c>
      <c r="D3" s="54">
        <f ca="1">VLOOKUP(C3,LORA数据!H:I,2,0)</f>
        <v>50</v>
      </c>
      <c r="E3" s="52">
        <v>600</v>
      </c>
      <c r="F3" s="55">
        <v>13.357</v>
      </c>
      <c r="G3" s="55">
        <f ca="1" t="shared" si="0"/>
        <v>387.065076923077</v>
      </c>
      <c r="H3" s="55">
        <v>19000</v>
      </c>
      <c r="I3" s="55">
        <f ca="1" t="shared" si="1"/>
        <v>1636.24509441134</v>
      </c>
      <c r="J3" s="55">
        <f ca="1" t="shared" si="2"/>
        <v>4.48286327235984</v>
      </c>
    </row>
    <row r="4" spans="1:10">
      <c r="A4" s="51" t="s">
        <v>28</v>
      </c>
      <c r="B4" s="52">
        <v>600</v>
      </c>
      <c r="C4" s="53" t="s">
        <v>26</v>
      </c>
      <c r="D4" s="54">
        <f ca="1">VLOOKUP(C4,LORA数据!H:I,2,0)</f>
        <v>50</v>
      </c>
      <c r="E4" s="52">
        <v>600</v>
      </c>
      <c r="F4" s="55">
        <v>1.065</v>
      </c>
      <c r="G4" s="55">
        <f ca="1">(3600/B4*D4)+(3600/E4*F4)+(3600/13*0.028)</f>
        <v>314.143846153846</v>
      </c>
      <c r="H4" s="55">
        <v>19000</v>
      </c>
      <c r="I4" s="55">
        <f ca="1" t="shared" si="1"/>
        <v>2016.06156252117</v>
      </c>
      <c r="J4" s="55">
        <f ca="1" t="shared" si="2"/>
        <v>5.52345633567444</v>
      </c>
    </row>
    <row r="5" s="44" customFormat="1" spans="1:10">
      <c r="A5" s="51" t="s">
        <v>29</v>
      </c>
      <c r="B5" s="52">
        <v>600</v>
      </c>
      <c r="C5" s="53" t="s">
        <v>26</v>
      </c>
      <c r="D5" s="54">
        <f ca="1">VLOOKUP(C5,LORA数据!H:I,2,0)</f>
        <v>50</v>
      </c>
      <c r="E5" s="52">
        <v>600</v>
      </c>
      <c r="F5" s="55">
        <v>1.87</v>
      </c>
      <c r="G5" s="55">
        <f ca="1">(3600/B5*D5)+(3600/E5*F5)+(3600/13*0.027)</f>
        <v>318.696923076923</v>
      </c>
      <c r="H5" s="55">
        <v>19000</v>
      </c>
      <c r="I5" s="55">
        <f ca="1" t="shared" si="1"/>
        <v>1987.25901467353</v>
      </c>
      <c r="J5" s="55">
        <f ca="1" t="shared" si="2"/>
        <v>5.44454524568092</v>
      </c>
    </row>
    <row r="6" spans="1:10">
      <c r="A6" s="51" t="s">
        <v>30</v>
      </c>
      <c r="B6" s="52">
        <v>600</v>
      </c>
      <c r="C6" s="53" t="s">
        <v>26</v>
      </c>
      <c r="D6" s="54">
        <f ca="1">VLOOKUP(C6,LORA数据!H:I,2,0)</f>
        <v>50</v>
      </c>
      <c r="E6" s="52">
        <v>600</v>
      </c>
      <c r="F6" s="55">
        <v>20.4</v>
      </c>
      <c r="G6" s="55">
        <f ca="1" t="shared" si="0"/>
        <v>429.323076923077</v>
      </c>
      <c r="H6" s="55">
        <v>19000</v>
      </c>
      <c r="I6" s="55">
        <f ca="1" t="shared" si="1"/>
        <v>1475.19052055711</v>
      </c>
      <c r="J6" s="55">
        <f ca="1" t="shared" si="2"/>
        <v>4.04161786454002</v>
      </c>
    </row>
    <row r="7" hidden="1" spans="1:10">
      <c r="A7" s="51" t="s">
        <v>31</v>
      </c>
      <c r="B7" s="52">
        <v>600</v>
      </c>
      <c r="C7" s="53" t="s">
        <v>26</v>
      </c>
      <c r="D7" s="54">
        <f ca="1">VLOOKUP(C7,LORA数据!H:I,2,0)</f>
        <v>50</v>
      </c>
      <c r="E7" s="52">
        <v>600</v>
      </c>
      <c r="F7" s="55">
        <v>15.4</v>
      </c>
      <c r="G7" s="55">
        <f ca="1" t="shared" si="0"/>
        <v>399.323076923077</v>
      </c>
      <c r="H7" s="55">
        <v>19000</v>
      </c>
      <c r="I7" s="55">
        <f ca="1" t="shared" si="1"/>
        <v>1586.01736271639</v>
      </c>
      <c r="J7" s="55">
        <f ca="1" t="shared" si="2"/>
        <v>4.34525304853806</v>
      </c>
    </row>
    <row r="8" s="44" customFormat="1" spans="1:10">
      <c r="A8" s="51" t="s">
        <v>32</v>
      </c>
      <c r="B8" s="52">
        <v>600</v>
      </c>
      <c r="C8" s="53" t="s">
        <v>26</v>
      </c>
      <c r="D8" s="54">
        <f ca="1">VLOOKUP(C8,LORA数据!H:I,2,0)</f>
        <v>50</v>
      </c>
      <c r="E8" s="52">
        <v>600</v>
      </c>
      <c r="F8" s="55">
        <v>1.515</v>
      </c>
      <c r="G8" s="55">
        <f ca="1">(3600/B8*D8)+(3600/E8*F8)+(3600/13*0.038)</f>
        <v>319.613076923077</v>
      </c>
      <c r="H8" s="55">
        <v>19000</v>
      </c>
      <c r="I8" s="55">
        <f ca="1" t="shared" si="1"/>
        <v>1981.56264265045</v>
      </c>
      <c r="J8" s="55">
        <f ca="1" t="shared" si="2"/>
        <v>5.42893874698753</v>
      </c>
    </row>
    <row r="9" s="44" customFormat="1" spans="1:10">
      <c r="A9" s="51" t="s">
        <v>33</v>
      </c>
      <c r="B9" s="52">
        <v>600</v>
      </c>
      <c r="C9" s="53" t="s">
        <v>26</v>
      </c>
      <c r="D9" s="54">
        <f ca="1">VLOOKUP(C9,LORA数据!H:I,2,0)</f>
        <v>50</v>
      </c>
      <c r="E9" s="52">
        <v>600</v>
      </c>
      <c r="F9" s="55">
        <v>12.6</v>
      </c>
      <c r="G9" s="55">
        <f ca="1">(3600/B9*D9)+(3600/E9*F9)+(3600/13*0.023)</f>
        <v>381.969230769231</v>
      </c>
      <c r="H9" s="55">
        <v>19000</v>
      </c>
      <c r="I9" s="55">
        <f ca="1" t="shared" si="1"/>
        <v>1658.07421728156</v>
      </c>
      <c r="J9" s="55">
        <f ca="1" t="shared" si="2"/>
        <v>4.54266908844264</v>
      </c>
    </row>
    <row r="10" spans="1:10">
      <c r="A10" s="51" t="s">
        <v>34</v>
      </c>
      <c r="B10" s="52">
        <v>600</v>
      </c>
      <c r="C10" s="53" t="s">
        <v>35</v>
      </c>
      <c r="D10" s="54">
        <f ca="1">VLOOKUP(C10,LORA数据!H:I,2,0)</f>
        <v>2.99</v>
      </c>
      <c r="E10" s="52">
        <v>600</v>
      </c>
      <c r="F10" s="55">
        <v>13.015</v>
      </c>
      <c r="G10" s="55">
        <f ca="1">(3600/B10*D10)+(3600/E10*F10)+(3600/13*0.027)</f>
        <v>103.506923076923</v>
      </c>
      <c r="H10" s="55">
        <v>19000</v>
      </c>
      <c r="I10" s="55">
        <f ca="1" t="shared" si="1"/>
        <v>6118.75335974059</v>
      </c>
      <c r="J10" s="55">
        <f ca="1" t="shared" si="2"/>
        <v>16.7637078349057</v>
      </c>
    </row>
    <row r="11" hidden="1" spans="1:10">
      <c r="A11" s="51" t="s">
        <v>36</v>
      </c>
      <c r="B11" s="52">
        <v>600</v>
      </c>
      <c r="C11" s="53" t="s">
        <v>26</v>
      </c>
      <c r="D11" s="54">
        <f ca="1">VLOOKUP(C11,LORA数据!H:I,2,0)</f>
        <v>50</v>
      </c>
      <c r="E11" s="52">
        <v>600</v>
      </c>
      <c r="F11" s="55">
        <v>26.66</v>
      </c>
      <c r="G11" s="55">
        <f ca="1">(3600/B11*D11)+(3600/E11*F11)+(3600/13*0.023)</f>
        <v>466.329230769231</v>
      </c>
      <c r="H11" s="55">
        <v>19000</v>
      </c>
      <c r="I11" s="55">
        <f ca="1" t="shared" si="1"/>
        <v>1358.12488590651</v>
      </c>
      <c r="J11" s="55">
        <f ca="1" t="shared" si="2"/>
        <v>3.72089009837401</v>
      </c>
    </row>
    <row r="12" hidden="1" spans="1:10">
      <c r="A12" s="51" t="s">
        <v>37</v>
      </c>
      <c r="B12" s="52">
        <v>600</v>
      </c>
      <c r="C12" s="53" t="s">
        <v>26</v>
      </c>
      <c r="D12" s="54">
        <f ca="1">VLOOKUP(C12,LORA数据!H:I,2,0)</f>
        <v>50</v>
      </c>
      <c r="E12" s="52">
        <v>600</v>
      </c>
      <c r="F12" s="55">
        <v>0.278</v>
      </c>
      <c r="G12" s="55">
        <f ca="1">(3600/B12*D12+(3600/E12*F12)+(3600/13*0.081))</f>
        <v>324.098769230769</v>
      </c>
      <c r="H12" s="55">
        <v>19000</v>
      </c>
      <c r="I12" s="55">
        <f ca="1" t="shared" si="1"/>
        <v>1954.13680476638</v>
      </c>
      <c r="J12" s="55">
        <f ca="1" t="shared" si="2"/>
        <v>5.35379946511338</v>
      </c>
    </row>
    <row r="13" spans="1:10">
      <c r="A13" s="51" t="s">
        <v>38</v>
      </c>
      <c r="B13" s="52">
        <v>600</v>
      </c>
      <c r="C13" s="53" t="s">
        <v>26</v>
      </c>
      <c r="D13" s="54">
        <f ca="1">VLOOKUP(C13,LORA数据!H:I,2,0)</f>
        <v>50</v>
      </c>
      <c r="E13" s="52">
        <v>600</v>
      </c>
      <c r="F13" s="55">
        <v>7.886</v>
      </c>
      <c r="G13" s="55">
        <f ca="1">(3600/B13*D13+(3600/E13*F13)+(3600/13*0.027))</f>
        <v>354.792923076923</v>
      </c>
      <c r="H13" s="55">
        <v>19000</v>
      </c>
      <c r="I13" s="55">
        <f ca="1" t="shared" si="1"/>
        <v>1785.07882243192</v>
      </c>
      <c r="J13" s="55">
        <f ca="1" t="shared" si="2"/>
        <v>4.89062691077239</v>
      </c>
    </row>
  </sheetData>
  <sheetCalcPr fullCalcOnLoad="1"/>
  <sheetProtection password="89AC" sheet="1" objects="1"/>
  <dataValidations count="1">
    <dataValidation type="list" allowBlank="1" showInputMessage="1" showErrorMessage="1" sqref="C2:C13">
      <formula1>LORA数据!$H$1:$H$18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opLeftCell="E1" workbookViewId="0">
      <selection activeCell="E8" sqref="E8"/>
    </sheetView>
  </sheetViews>
  <sheetFormatPr defaultColWidth="9" defaultRowHeight="15.6" outlineLevelRow="7"/>
  <cols>
    <col min="1" max="1" width="21.25" style="2" customWidth="1"/>
    <col min="2" max="2" width="17.75" style="2" customWidth="1"/>
    <col min="3" max="3" width="24" style="2" customWidth="1"/>
    <col min="4" max="4" width="23" style="2" customWidth="1"/>
    <col min="5" max="5" width="26.75" style="2" customWidth="1"/>
    <col min="6" max="6" width="32.125" style="2" customWidth="1"/>
    <col min="7" max="7" width="23.125" style="2" customWidth="1"/>
    <col min="8" max="8" width="21.875" style="2" customWidth="1"/>
    <col min="9" max="9" width="19.125" style="2" customWidth="1"/>
    <col min="10" max="10" width="17.75" style="2" customWidth="1"/>
    <col min="11" max="11" width="15" style="2" customWidth="1"/>
    <col min="12" max="16384" width="9" style="2"/>
  </cols>
  <sheetData>
    <row r="1" spans="1:11">
      <c r="A1" s="29" t="s">
        <v>0</v>
      </c>
      <c r="B1" s="40" t="s">
        <v>39</v>
      </c>
      <c r="C1" s="40" t="s">
        <v>40</v>
      </c>
      <c r="D1" s="29" t="s">
        <v>41</v>
      </c>
      <c r="E1" s="41"/>
      <c r="F1" s="40" t="s">
        <v>42</v>
      </c>
      <c r="G1" s="29" t="s">
        <v>21</v>
      </c>
      <c r="H1" s="29" t="s">
        <v>7</v>
      </c>
      <c r="I1" s="29" t="s">
        <v>8</v>
      </c>
      <c r="J1" s="29" t="s">
        <v>9</v>
      </c>
      <c r="K1" s="29" t="s">
        <v>10</v>
      </c>
    </row>
    <row r="2" spans="1:11">
      <c r="A2" s="29" t="s">
        <v>43</v>
      </c>
      <c r="B2" s="9">
        <v>1800</v>
      </c>
      <c r="C2" s="7" t="s">
        <v>44</v>
      </c>
      <c r="D2" s="9">
        <f ca="1">VLOOKUP(C2,LORA数据!N:O,2,0)</f>
        <v>23</v>
      </c>
      <c r="E2" s="42"/>
      <c r="F2" s="9">
        <v>1</v>
      </c>
      <c r="G2" s="9">
        <v>0.027</v>
      </c>
      <c r="H2" s="9">
        <f ca="1">(3600/B2*D2)+(3600/(B2/10*(1-F2)+F2*60)*G2)+(3600/13*0.043)</f>
        <v>59.5276923076923</v>
      </c>
      <c r="I2" s="9">
        <v>8000</v>
      </c>
      <c r="J2" s="9">
        <f ca="1">I2*0.8*1000/H2/24</f>
        <v>4479.70778521524</v>
      </c>
      <c r="K2" s="9">
        <f ca="1">J2/365</f>
        <v>12.2731720142883</v>
      </c>
    </row>
    <row r="4" spans="1:11">
      <c r="A4" s="29" t="s">
        <v>0</v>
      </c>
      <c r="B4" s="40" t="s">
        <v>39</v>
      </c>
      <c r="C4" s="40" t="s">
        <v>40</v>
      </c>
      <c r="D4" s="29" t="s">
        <v>41</v>
      </c>
      <c r="E4" s="40" t="s">
        <v>45</v>
      </c>
      <c r="F4" s="40" t="s">
        <v>42</v>
      </c>
      <c r="G4" s="29" t="s">
        <v>21</v>
      </c>
      <c r="H4" s="29" t="s">
        <v>7</v>
      </c>
      <c r="I4" s="29" t="s">
        <v>8</v>
      </c>
      <c r="J4" s="29" t="s">
        <v>9</v>
      </c>
      <c r="K4" s="29" t="s">
        <v>10</v>
      </c>
    </row>
    <row r="5" spans="1:11">
      <c r="A5" s="29" t="s">
        <v>46</v>
      </c>
      <c r="B5" s="9">
        <v>1800</v>
      </c>
      <c r="C5" s="7" t="s">
        <v>44</v>
      </c>
      <c r="D5" s="9">
        <f ca="1">VLOOKUP(C5,LORA数据!N:O,2,0)</f>
        <v>23</v>
      </c>
      <c r="E5" s="9">
        <v>3600</v>
      </c>
      <c r="F5" s="9">
        <v>1</v>
      </c>
      <c r="G5" s="9">
        <v>0.069</v>
      </c>
      <c r="H5" s="9">
        <f ca="1">(3600/B5*D5)+(3600/(B5/10*(1-F5)+F5*60)*G5)+(3600/13*0.043)</f>
        <v>62.0476923076923</v>
      </c>
      <c r="I5" s="9">
        <v>8000</v>
      </c>
      <c r="J5" s="9">
        <f ca="1">(I5*0.8*1000-E5/30*G5)/H5/24</f>
        <v>4297.76373219938</v>
      </c>
      <c r="K5" s="9">
        <f ca="1">J5/365</f>
        <v>11.7746951567106</v>
      </c>
    </row>
    <row r="7" spans="1:11">
      <c r="A7" s="29" t="s">
        <v>0</v>
      </c>
      <c r="B7" s="40" t="s">
        <v>39</v>
      </c>
      <c r="C7" s="40" t="s">
        <v>40</v>
      </c>
      <c r="D7" s="29" t="s">
        <v>41</v>
      </c>
      <c r="E7" s="40" t="s">
        <v>47</v>
      </c>
      <c r="F7" s="40" t="s">
        <v>42</v>
      </c>
      <c r="G7" s="29" t="s">
        <v>21</v>
      </c>
      <c r="H7" s="29" t="s">
        <v>7</v>
      </c>
      <c r="I7" s="29" t="s">
        <v>8</v>
      </c>
      <c r="J7" s="29" t="s">
        <v>9</v>
      </c>
      <c r="K7" s="29" t="s">
        <v>10</v>
      </c>
    </row>
    <row r="8" spans="1:11">
      <c r="A8" s="29" t="s">
        <v>48</v>
      </c>
      <c r="B8" s="9">
        <v>1800</v>
      </c>
      <c r="C8" s="7" t="s">
        <v>44</v>
      </c>
      <c r="D8" s="9">
        <f ca="1">VLOOKUP(C8,LORA数据!N:O,2,0)</f>
        <v>23</v>
      </c>
      <c r="E8" s="9">
        <v>2</v>
      </c>
      <c r="F8" s="9">
        <v>1</v>
      </c>
      <c r="G8" s="9">
        <v>0.069</v>
      </c>
      <c r="H8" s="9">
        <f ca="1">((3600/B8+E8)*D8)+(3600/(B8/10*(1-F8)+F8*60)*G8)+(3600/13*0.043)+(E8*G8)</f>
        <v>108.185692307692</v>
      </c>
      <c r="I8" s="9">
        <v>8000</v>
      </c>
      <c r="J8" s="9">
        <f ca="1">I8*0.8*1000/H8/24</f>
        <v>2464.89772333514</v>
      </c>
      <c r="K8" s="9">
        <f ca="1">J8/365</f>
        <v>6.75314444749353</v>
      </c>
    </row>
  </sheetData>
  <sheetCalcPr fullCalcOnLoad="1"/>
  <dataValidations count="3">
    <dataValidation type="list" allowBlank="1" showInputMessage="1" showErrorMessage="1" sqref="C2 C5 C8">
      <formula1>LORA数据!$N$1:$N$2</formula1>
    </dataValidation>
    <dataValidation type="list" allowBlank="1" showInputMessage="1" showErrorMessage="1" sqref="F2 F5 F8">
      <formula1>LORA数据!$K$1:$K$2</formula1>
    </dataValidation>
    <dataValidation type="whole" operator="greaterThanOrEqual" allowBlank="1" showInputMessage="1" showErrorMessage="1" sqref="E5">
      <formula1>30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zoomScale="85" zoomScaleNormal="85" workbookViewId="0">
      <selection activeCell="O2" sqref="O2"/>
    </sheetView>
  </sheetViews>
  <sheetFormatPr defaultColWidth="9" defaultRowHeight="15.6"/>
  <cols>
    <col min="1" max="1" width="7.2" customWidth="1"/>
    <col min="2" max="2" width="10.5" customWidth="1"/>
    <col min="3" max="4" width="8.6" customWidth="1"/>
    <col min="6" max="6" width="9.4" customWidth="1"/>
  </cols>
  <sheetData>
    <row r="1" spans="1:15">
      <c r="A1" s="20" t="s">
        <v>14</v>
      </c>
      <c r="B1" s="36" t="s">
        <v>15</v>
      </c>
      <c r="C1" s="37">
        <v>2.425</v>
      </c>
      <c r="D1" s="38" t="s">
        <v>16</v>
      </c>
      <c r="E1" s="36" t="s">
        <v>15</v>
      </c>
      <c r="F1" s="37">
        <v>2.985</v>
      </c>
      <c r="G1" s="20" t="s">
        <v>49</v>
      </c>
      <c r="H1" s="36" t="s">
        <v>15</v>
      </c>
      <c r="I1" s="39">
        <v>2.234</v>
      </c>
      <c r="K1" s="39">
        <v>0</v>
      </c>
      <c r="L1" s="39">
        <v>0</v>
      </c>
      <c r="N1" s="39" t="s">
        <v>44</v>
      </c>
      <c r="O1" s="39">
        <v>23</v>
      </c>
    </row>
    <row r="2" spans="1:15">
      <c r="A2" s="20"/>
      <c r="B2" s="36" t="s">
        <v>50</v>
      </c>
      <c r="C2" s="37">
        <v>3.57</v>
      </c>
      <c r="D2" s="38"/>
      <c r="E2" s="36" t="s">
        <v>50</v>
      </c>
      <c r="F2" s="37">
        <v>4.385</v>
      </c>
      <c r="G2" s="20"/>
      <c r="H2" s="36" t="s">
        <v>50</v>
      </c>
      <c r="I2" s="39">
        <v>3.126</v>
      </c>
      <c r="K2" s="39">
        <v>1</v>
      </c>
      <c r="L2" s="39">
        <v>1</v>
      </c>
      <c r="N2" s="39" t="s">
        <v>51</v>
      </c>
      <c r="O2" s="39">
        <v>45</v>
      </c>
    </row>
    <row r="3" spans="1:9">
      <c r="A3" s="20"/>
      <c r="B3" s="36" t="s">
        <v>52</v>
      </c>
      <c r="C3" s="37">
        <v>5.597</v>
      </c>
      <c r="D3" s="38"/>
      <c r="E3" s="36" t="s">
        <v>52</v>
      </c>
      <c r="F3" s="37">
        <v>10.011</v>
      </c>
      <c r="G3" s="20"/>
      <c r="H3" s="36" t="s">
        <v>52</v>
      </c>
      <c r="I3" s="39">
        <v>4.9</v>
      </c>
    </row>
    <row r="4" spans="1:9">
      <c r="A4" s="20"/>
      <c r="B4" s="36" t="s">
        <v>53</v>
      </c>
      <c r="C4" s="37">
        <v>9.4</v>
      </c>
      <c r="D4" s="38"/>
      <c r="E4" s="36" t="s">
        <v>53</v>
      </c>
      <c r="F4" s="39">
        <v>15</v>
      </c>
      <c r="G4" s="20"/>
      <c r="H4" s="36" t="s">
        <v>53</v>
      </c>
      <c r="I4" s="39">
        <v>8.119</v>
      </c>
    </row>
    <row r="5" spans="1:9">
      <c r="A5" s="20"/>
      <c r="B5" s="36" t="s">
        <v>54</v>
      </c>
      <c r="C5" s="37">
        <v>20.993</v>
      </c>
      <c r="D5" s="38"/>
      <c r="E5" s="36" t="s">
        <v>54</v>
      </c>
      <c r="F5" s="39">
        <v>23.864</v>
      </c>
      <c r="G5" s="20"/>
      <c r="H5" s="36" t="s">
        <v>54</v>
      </c>
      <c r="I5" s="39">
        <v>16.65</v>
      </c>
    </row>
    <row r="6" spans="1:9">
      <c r="A6" s="20"/>
      <c r="B6" s="36" t="s">
        <v>55</v>
      </c>
      <c r="C6" s="37">
        <v>34.03</v>
      </c>
      <c r="D6" s="38"/>
      <c r="E6" s="36" t="s">
        <v>55</v>
      </c>
      <c r="F6" s="39">
        <v>43.414</v>
      </c>
      <c r="G6" s="20"/>
      <c r="H6" s="36" t="s">
        <v>55</v>
      </c>
      <c r="I6" s="39">
        <v>33.286</v>
      </c>
    </row>
    <row r="7" spans="1:9">
      <c r="A7" s="20"/>
      <c r="B7" s="36" t="s">
        <v>35</v>
      </c>
      <c r="C7" s="37">
        <v>3.689</v>
      </c>
      <c r="D7" s="38"/>
      <c r="E7" s="36" t="s">
        <v>35</v>
      </c>
      <c r="F7" s="39">
        <v>4.45</v>
      </c>
      <c r="G7" s="20"/>
      <c r="H7" s="36" t="s">
        <v>35</v>
      </c>
      <c r="I7" s="39">
        <v>2.99</v>
      </c>
    </row>
    <row r="8" spans="1:9">
      <c r="A8" s="20"/>
      <c r="B8" s="36" t="s">
        <v>56</v>
      </c>
      <c r="C8" s="37">
        <v>5.959</v>
      </c>
      <c r="D8" s="38"/>
      <c r="E8" s="36" t="s">
        <v>56</v>
      </c>
      <c r="F8" s="39">
        <v>6.563</v>
      </c>
      <c r="G8" s="20"/>
      <c r="H8" s="36" t="s">
        <v>56</v>
      </c>
      <c r="I8" s="39">
        <v>4.52</v>
      </c>
    </row>
    <row r="9" spans="1:9">
      <c r="A9" s="20"/>
      <c r="B9" s="36" t="s">
        <v>57</v>
      </c>
      <c r="C9" s="37">
        <v>9.805</v>
      </c>
      <c r="D9" s="38"/>
      <c r="E9" s="36" t="s">
        <v>57</v>
      </c>
      <c r="F9" s="39">
        <v>11.241</v>
      </c>
      <c r="G9" s="20"/>
      <c r="H9" s="36" t="s">
        <v>57</v>
      </c>
      <c r="I9" s="39">
        <v>7.5</v>
      </c>
    </row>
    <row r="10" spans="1:9">
      <c r="A10" s="20"/>
      <c r="B10" s="36" t="s">
        <v>58</v>
      </c>
      <c r="C10" s="37">
        <v>14.213</v>
      </c>
      <c r="D10" s="38"/>
      <c r="E10" s="36" t="s">
        <v>58</v>
      </c>
      <c r="F10" s="39">
        <v>12.85</v>
      </c>
      <c r="G10" s="20"/>
      <c r="H10" s="36" t="s">
        <v>58</v>
      </c>
      <c r="I10" s="39">
        <v>13.372</v>
      </c>
    </row>
    <row r="11" spans="1:9">
      <c r="A11" s="20"/>
      <c r="B11" s="36" t="s">
        <v>59</v>
      </c>
      <c r="C11" s="37">
        <v>31.416</v>
      </c>
      <c r="D11" s="38"/>
      <c r="E11" s="36" t="s">
        <v>59</v>
      </c>
      <c r="F11" s="39">
        <v>39.833</v>
      </c>
      <c r="G11" s="20"/>
      <c r="H11" s="36" t="s">
        <v>59</v>
      </c>
      <c r="I11" s="39">
        <v>27.6</v>
      </c>
    </row>
    <row r="12" spans="1:9">
      <c r="A12" s="20"/>
      <c r="B12" s="36" t="s">
        <v>26</v>
      </c>
      <c r="C12" s="37">
        <v>65.8</v>
      </c>
      <c r="D12" s="38"/>
      <c r="E12" s="36" t="s">
        <v>26</v>
      </c>
      <c r="F12" s="39">
        <v>73.166</v>
      </c>
      <c r="G12" s="20"/>
      <c r="H12" s="36" t="s">
        <v>26</v>
      </c>
      <c r="I12">
        <v>50</v>
      </c>
    </row>
    <row r="13" spans="1:9">
      <c r="A13" s="20"/>
      <c r="B13" s="36" t="s">
        <v>60</v>
      </c>
      <c r="C13" s="37">
        <v>2.812</v>
      </c>
      <c r="D13" s="38"/>
      <c r="E13" s="36" t="s">
        <v>60</v>
      </c>
      <c r="F13" s="39">
        <v>3.277</v>
      </c>
      <c r="G13" s="20"/>
      <c r="H13" s="36" t="s">
        <v>60</v>
      </c>
      <c r="I13" s="39">
        <v>2.663</v>
      </c>
    </row>
    <row r="14" spans="1:9">
      <c r="A14" s="20"/>
      <c r="B14" s="36" t="s">
        <v>61</v>
      </c>
      <c r="C14" s="37">
        <v>4.3</v>
      </c>
      <c r="D14" s="38"/>
      <c r="E14" s="36" t="s">
        <v>61</v>
      </c>
      <c r="F14" s="39">
        <v>4.898</v>
      </c>
      <c r="G14" s="20"/>
      <c r="H14" s="36" t="s">
        <v>61</v>
      </c>
      <c r="I14" s="39">
        <v>3.817</v>
      </c>
    </row>
    <row r="15" spans="1:9">
      <c r="A15" s="20"/>
      <c r="B15" s="36" t="s">
        <v>62</v>
      </c>
      <c r="C15" s="37">
        <v>6.913</v>
      </c>
      <c r="D15" s="38"/>
      <c r="E15" s="36" t="s">
        <v>62</v>
      </c>
      <c r="F15" s="39">
        <v>8.001</v>
      </c>
      <c r="G15" s="20"/>
      <c r="H15" s="36" t="s">
        <v>62</v>
      </c>
      <c r="I15" s="39">
        <v>6.019</v>
      </c>
    </row>
    <row r="16" spans="1:9">
      <c r="A16" s="20"/>
      <c r="B16" s="36" t="s">
        <v>63</v>
      </c>
      <c r="C16" s="37">
        <v>11.656</v>
      </c>
      <c r="D16" s="38"/>
      <c r="E16" s="36" t="s">
        <v>63</v>
      </c>
      <c r="F16" s="39">
        <v>14.059</v>
      </c>
      <c r="G16" s="20"/>
      <c r="H16" s="36" t="s">
        <v>63</v>
      </c>
      <c r="I16" s="39">
        <v>9.899</v>
      </c>
    </row>
    <row r="17" spans="1:9">
      <c r="A17" s="20"/>
      <c r="B17" s="36" t="s">
        <v>64</v>
      </c>
      <c r="C17" s="37">
        <v>24.155</v>
      </c>
      <c r="D17" s="38"/>
      <c r="E17" s="36" t="s">
        <v>64</v>
      </c>
      <c r="F17" s="39">
        <v>26.845</v>
      </c>
      <c r="G17" s="20"/>
      <c r="H17" s="36" t="s">
        <v>64</v>
      </c>
      <c r="I17" s="39">
        <v>20.175</v>
      </c>
    </row>
    <row r="18" spans="1:9">
      <c r="A18" s="20"/>
      <c r="B18" s="36" t="s">
        <v>65</v>
      </c>
      <c r="C18" s="37">
        <v>43.132</v>
      </c>
      <c r="D18" s="38"/>
      <c r="E18" s="36" t="s">
        <v>65</v>
      </c>
      <c r="F18" s="39">
        <v>49.071</v>
      </c>
      <c r="G18" s="20"/>
      <c r="H18" s="36" t="s">
        <v>65</v>
      </c>
      <c r="I18" s="39">
        <v>35.9</v>
      </c>
    </row>
  </sheetData>
  <mergeCells count="3">
    <mergeCell ref="A1:A18"/>
    <mergeCell ref="D1:D18"/>
    <mergeCell ref="G1:G18"/>
  </mergeCells>
  <pageMargins left="0.75" right="0.75" top="1" bottom="1" header="0.511805555555556" footer="0.511805555555556"/>
  <pageSetup paperSize="9" orientation="portrait"/>
  <headerFooter alignWithMargins="0" scaleWithDoc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70" zoomScaleNormal="70" topLeftCell="A10" workbookViewId="0">
      <selection activeCell="A28" sqref="A28"/>
    </sheetView>
  </sheetViews>
  <sheetFormatPr defaultColWidth="8.8" defaultRowHeight="15.6" outlineLevelCol="5"/>
  <cols>
    <col min="1" max="1" width="23.8" customWidth="1"/>
    <col min="2" max="2" width="36.8" customWidth="1"/>
    <col min="3" max="3" width="17.8" customWidth="1"/>
    <col min="4" max="4" width="28.575" customWidth="1"/>
    <col min="5" max="5" width="12.8" customWidth="1"/>
    <col min="6" max="6" width="23.9" customWidth="1"/>
  </cols>
  <sheetData>
    <row r="1" spans="1:5">
      <c r="A1" s="1"/>
      <c r="B1" s="2"/>
      <c r="C1" s="2"/>
      <c r="D1" s="2"/>
      <c r="E1" s="2"/>
    </row>
    <row r="2" ht="16.35" spans="1:5">
      <c r="A2" s="2"/>
      <c r="B2" s="2"/>
      <c r="C2" s="2"/>
      <c r="D2" s="2"/>
      <c r="E2" s="2"/>
    </row>
    <row r="3" spans="1:6">
      <c r="A3" s="3" t="s">
        <v>66</v>
      </c>
      <c r="B3" s="4" t="s">
        <v>67</v>
      </c>
      <c r="C3" s="4" t="s">
        <v>68</v>
      </c>
      <c r="D3" s="4" t="s">
        <v>69</v>
      </c>
      <c r="E3" s="4" t="s">
        <v>70</v>
      </c>
      <c r="F3" s="5" t="s">
        <v>71</v>
      </c>
    </row>
    <row r="4" spans="1:6">
      <c r="A4" s="6" t="s">
        <v>14</v>
      </c>
      <c r="B4" s="7" t="s">
        <v>72</v>
      </c>
      <c r="C4" s="7" t="s">
        <v>73</v>
      </c>
      <c r="D4" s="7" t="s">
        <v>74</v>
      </c>
      <c r="E4" s="7" t="s">
        <v>75</v>
      </c>
      <c r="F4" s="8" t="s">
        <v>76</v>
      </c>
    </row>
    <row r="5" ht="15" customHeight="1" spans="1:6">
      <c r="A5" s="6" t="s">
        <v>16</v>
      </c>
      <c r="B5" s="7" t="s">
        <v>77</v>
      </c>
      <c r="C5" s="9" t="s">
        <v>73</v>
      </c>
      <c r="D5" s="9" t="s">
        <v>74</v>
      </c>
      <c r="E5" s="7" t="s">
        <v>78</v>
      </c>
      <c r="F5" s="10" t="s">
        <v>79</v>
      </c>
    </row>
    <row r="6" spans="1:6">
      <c r="A6" s="11"/>
      <c r="B6" s="7" t="s">
        <v>80</v>
      </c>
      <c r="C6" s="9"/>
      <c r="D6" s="9"/>
      <c r="E6" s="9"/>
      <c r="F6" s="12"/>
    </row>
    <row r="7" spans="1:6">
      <c r="A7" s="11"/>
      <c r="B7" s="7" t="s">
        <v>81</v>
      </c>
      <c r="C7" s="9"/>
      <c r="D7" s="9"/>
      <c r="E7" s="9"/>
      <c r="F7" s="12"/>
    </row>
    <row r="8" ht="16.35" spans="1:6">
      <c r="A8" s="13"/>
      <c r="B8" s="14" t="s">
        <v>82</v>
      </c>
      <c r="C8" s="15"/>
      <c r="D8" s="15"/>
      <c r="E8" s="15"/>
      <c r="F8" s="16"/>
    </row>
    <row r="9" spans="1:6">
      <c r="A9" s="17"/>
      <c r="B9" s="18"/>
      <c r="C9" s="18"/>
      <c r="D9" s="18"/>
      <c r="E9" s="18"/>
      <c r="F9" s="18"/>
    </row>
    <row r="10" ht="25" customHeight="1" spans="1:6">
      <c r="A10" s="18"/>
      <c r="B10" s="18"/>
      <c r="C10" s="18"/>
      <c r="D10" s="18"/>
      <c r="E10" s="18"/>
      <c r="F10" s="18"/>
    </row>
    <row r="11" spans="1:6">
      <c r="A11" s="3" t="s">
        <v>83</v>
      </c>
      <c r="B11" s="4" t="s">
        <v>67</v>
      </c>
      <c r="C11" s="4" t="s">
        <v>70</v>
      </c>
      <c r="D11" s="4" t="s">
        <v>71</v>
      </c>
      <c r="E11" s="4"/>
      <c r="F11" s="5"/>
    </row>
    <row r="12" ht="35" customHeight="1" spans="1:6">
      <c r="A12" s="6" t="s">
        <v>84</v>
      </c>
      <c r="B12" s="19" t="s">
        <v>85</v>
      </c>
      <c r="C12" s="20" t="s">
        <v>86</v>
      </c>
      <c r="D12" s="21" t="s">
        <v>87</v>
      </c>
      <c r="E12" s="21"/>
      <c r="F12" s="22"/>
    </row>
    <row r="13" ht="36" customHeight="1" spans="1:6">
      <c r="A13" s="6" t="s">
        <v>88</v>
      </c>
      <c r="B13" s="20" t="s">
        <v>89</v>
      </c>
      <c r="C13" s="20" t="s">
        <v>90</v>
      </c>
      <c r="D13" s="21" t="s">
        <v>91</v>
      </c>
      <c r="E13" s="21"/>
      <c r="F13" s="22"/>
    </row>
    <row r="14" ht="34" customHeight="1" spans="1:6">
      <c r="A14" s="6" t="s">
        <v>92</v>
      </c>
      <c r="B14" s="20" t="s">
        <v>93</v>
      </c>
      <c r="C14" s="20" t="s">
        <v>90</v>
      </c>
      <c r="D14" s="21" t="s">
        <v>94</v>
      </c>
      <c r="E14" s="21"/>
      <c r="F14" s="22"/>
    </row>
    <row r="15" ht="37" customHeight="1" spans="1:6">
      <c r="A15" s="6" t="s">
        <v>95</v>
      </c>
      <c r="B15" s="23" t="s">
        <v>96</v>
      </c>
      <c r="C15" s="20" t="s">
        <v>90</v>
      </c>
      <c r="D15" s="21" t="s">
        <v>97</v>
      </c>
      <c r="E15" s="21"/>
      <c r="F15" s="22"/>
    </row>
    <row r="16" ht="28" customHeight="1" spans="1:6">
      <c r="A16" s="6"/>
      <c r="B16" s="20" t="s">
        <v>98</v>
      </c>
      <c r="C16" s="20" t="s">
        <v>90</v>
      </c>
      <c r="D16" s="21" t="s">
        <v>99</v>
      </c>
      <c r="E16" s="21"/>
      <c r="F16" s="22"/>
    </row>
    <row r="17" ht="51" customHeight="1" spans="1:6">
      <c r="A17" s="6" t="s">
        <v>100</v>
      </c>
      <c r="B17" s="23" t="s">
        <v>101</v>
      </c>
      <c r="C17" s="20" t="s">
        <v>102</v>
      </c>
      <c r="D17" s="21" t="s">
        <v>103</v>
      </c>
      <c r="E17" s="21"/>
      <c r="F17" s="22"/>
    </row>
    <row r="18" ht="37" customHeight="1" spans="1:6">
      <c r="A18" s="6" t="s">
        <v>104</v>
      </c>
      <c r="B18" s="20" t="s">
        <v>105</v>
      </c>
      <c r="C18" s="20" t="s">
        <v>106</v>
      </c>
      <c r="D18" s="21" t="s">
        <v>107</v>
      </c>
      <c r="E18" s="21"/>
      <c r="F18" s="22"/>
    </row>
    <row r="19" ht="127" customHeight="1" spans="1:6">
      <c r="A19" s="24" t="s">
        <v>108</v>
      </c>
      <c r="B19" s="25" t="s">
        <v>109</v>
      </c>
      <c r="C19" s="25" t="s">
        <v>110</v>
      </c>
      <c r="D19" s="26" t="s">
        <v>111</v>
      </c>
      <c r="E19" s="27"/>
      <c r="F19" s="28"/>
    </row>
    <row r="20" ht="57" customHeight="1" spans="1:6">
      <c r="A20" s="29" t="s">
        <v>112</v>
      </c>
      <c r="B20" s="20" t="s">
        <v>113</v>
      </c>
      <c r="C20" s="20" t="s">
        <v>86</v>
      </c>
      <c r="D20" s="23" t="s">
        <v>114</v>
      </c>
      <c r="E20" s="23"/>
      <c r="F20" s="23"/>
    </row>
    <row r="21" ht="52" customHeight="1" spans="1:6">
      <c r="A21" s="29" t="s">
        <v>115</v>
      </c>
      <c r="B21" s="20" t="s">
        <v>116</v>
      </c>
      <c r="C21" s="20" t="s">
        <v>110</v>
      </c>
      <c r="D21" s="23" t="s">
        <v>117</v>
      </c>
      <c r="E21" s="23"/>
      <c r="F21" s="23"/>
    </row>
    <row r="22" ht="51" customHeight="1" spans="1:6">
      <c r="A22" s="29" t="s">
        <v>118</v>
      </c>
      <c r="B22" s="20" t="s">
        <v>119</v>
      </c>
      <c r="C22" s="20" t="s">
        <v>120</v>
      </c>
      <c r="D22" s="23" t="s">
        <v>121</v>
      </c>
      <c r="E22" s="23"/>
      <c r="F22" s="23"/>
    </row>
    <row r="23" ht="45" customHeight="1" spans="1:6">
      <c r="A23" s="29" t="s">
        <v>122</v>
      </c>
      <c r="B23" s="20" t="s">
        <v>123</v>
      </c>
      <c r="C23" s="20" t="s">
        <v>124</v>
      </c>
      <c r="D23" s="23" t="s">
        <v>125</v>
      </c>
      <c r="E23" s="23"/>
      <c r="F23" s="23"/>
    </row>
    <row r="25" spans="1:6">
      <c r="A25" s="29" t="s">
        <v>126</v>
      </c>
      <c r="B25" s="29" t="s">
        <v>67</v>
      </c>
      <c r="C25" s="29" t="s">
        <v>70</v>
      </c>
      <c r="D25" s="30" t="s">
        <v>71</v>
      </c>
      <c r="E25" s="31"/>
      <c r="F25" s="31"/>
    </row>
    <row r="26" spans="1:6">
      <c r="A26" s="29" t="s">
        <v>43</v>
      </c>
      <c r="B26" s="7" t="s">
        <v>127</v>
      </c>
      <c r="C26" s="7" t="s">
        <v>128</v>
      </c>
      <c r="D26" s="32" t="s">
        <v>129</v>
      </c>
      <c r="E26" s="33"/>
      <c r="F26" s="34"/>
    </row>
    <row r="27" spans="1:6">
      <c r="A27" s="29" t="s">
        <v>46</v>
      </c>
      <c r="B27" s="7" t="s">
        <v>130</v>
      </c>
      <c r="C27" s="7" t="s">
        <v>128</v>
      </c>
      <c r="D27" s="32" t="s">
        <v>129</v>
      </c>
      <c r="E27" s="33"/>
      <c r="F27" s="35"/>
    </row>
    <row r="28" spans="1:4">
      <c r="A28" s="29" t="s">
        <v>131</v>
      </c>
      <c r="B28" s="7" t="s">
        <v>130</v>
      </c>
      <c r="C28" s="7" t="s">
        <v>128</v>
      </c>
      <c r="D28" s="32" t="s">
        <v>129</v>
      </c>
    </row>
  </sheetData>
  <mergeCells count="21"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A5:A8"/>
    <mergeCell ref="A15:A16"/>
    <mergeCell ref="C5:C8"/>
    <mergeCell ref="D5:D8"/>
    <mergeCell ref="E5:E8"/>
    <mergeCell ref="F5:F8"/>
    <mergeCell ref="A9:F10"/>
    <mergeCell ref="A1:E2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5 " / > < p i x e l a t o r L i s t   s h e e t S t i d = " 3 " / > < p i x e l a t o r L i s t   s h e e t S t i d = " 4 " / > < p i x e l a t o r L i s t   s h e e t S t i d = " 6 " / > < / p i x e l a t o r s > 
</file>

<file path=customXml/item2.xml>��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w o S h e e t P r o p s   s h e e t S t i d = " 2 "   i n t e r l i n e O n O f f = " 0 "   i n t e r l i n e C o l o r = " 0 "   i s D b S h e e t = " 0 "   i s D a s h B o a r d S h e e t = " 0 " / > < w o S h e e t P r o p s   s h e e t S t i d = " 5 "   i n t e r l i n e O n O f f = " 0 "   i n t e r l i n e C o l o r = " 0 "   i s D b S h e e t = " 0 "   i s D a s h B o a r d S h e e t = " 0 " / > < w o S h e e t P r o p s   s h e e t S t i d = " 3 "   i n t e r l i n e O n O f f = " 0 "   i n t e r l i n e C o l o r = " 0 "   i s D b S h e e t = " 0 "   i s D a s h B o a r d S h e e t = " 0 " / > < w o S h e e t P r o p s   s h e e t S t i d = " 4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D5662047-3127-477A-AC3A-1D340467FB41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WWO_base_provider_20211116151624-c448fc277f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AM100系列</vt:lpstr>
      <vt:lpstr>EM500</vt:lpstr>
      <vt:lpstr>EM300-NB</vt:lpstr>
      <vt:lpstr>LORA数据</vt:lpstr>
      <vt:lpstr>AM EM功耗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VICKY</cp:lastModifiedBy>
  <dcterms:created xsi:type="dcterms:W3CDTF">2020-03-07T05:18:21Z</dcterms:created>
  <dcterms:modified xsi:type="dcterms:W3CDTF">2024-02-27T01:36:10Z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39BADEAEEEA04571B4D7BB6156D7DB50_13</vt:lpwstr>
  </property>
</Properties>
</file>