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1" autoFilterDateGrouping="1"/>
  </bookViews>
  <sheets>
    <sheet name="FATURA EDITAVEL" sheetId="1" state="visible" r:id="rId1"/>
    <sheet name="dados" sheetId="2" state="visible" r:id="rId2"/>
    <sheet name="Planilha3" sheetId="3" state="hidden" r:id="rId3"/>
    <sheet name="Planilha6" sheetId="4" state="hidden" r:id="rId4"/>
  </sheets>
  <definedNames>
    <definedName name="_xlnm.Print_Area" localSheetId="0">'FATURA EDITAVEL'!$B$1:$R$108</definedName>
    <definedName name="_xlnm._FilterDatabase" localSheetId="2" hidden="1">'Planilha3'!$X$34:$AH$46</definedName>
  </definedNames>
  <calcPr calcId="162913" fullCalcOnLoad="1"/>
</workbook>
</file>

<file path=xl/styles.xml><?xml version="1.0" encoding="utf-8"?>
<styleSheet xmlns="http://schemas.openxmlformats.org/spreadsheetml/2006/main">
  <numFmts count="8">
    <numFmt numFmtId="164" formatCode="_-&quot;R$&quot;\ * #,##0.00_-;\-&quot;R$&quot;\ * #,##0.00_-;_-&quot;R$&quot;\ * &quot;-&quot;??_-;_-@_-"/>
    <numFmt numFmtId="165" formatCode="_-&quot;R$&quot;\ * #,##0.00000_-;\-&quot;R$&quot;\ * #,##0.00000_-;_-&quot;R$&quot;\ * &quot;-&quot;??_-;_-@_-"/>
    <numFmt numFmtId="166" formatCode="_-&quot;R$&quot;\ * #,##0.00000_-;\-&quot;R$&quot;\ * #,##0.00000_-;_-&quot;R$&quot;\ * &quot;-&quot;?????_-;_-@_-"/>
    <numFmt numFmtId="167" formatCode="0.0"/>
    <numFmt numFmtId="168" formatCode="_-[$R$-416]\ * #,##0.00_-;\-[$R$-416]\ * #,##0.00_-;_-[$R$-416]\ * &quot;-&quot;??_-;_-@_-"/>
    <numFmt numFmtId="169" formatCode="_-&quot;R$&quot;\ * #,##0.0000_-;\-&quot;R$&quot;\ * #,##0.0000_-;_-&quot;R$&quot;\ * &quot;-&quot;??_-;_-@_-"/>
    <numFmt numFmtId="170" formatCode="[$-416]mmm\-yy;@"/>
    <numFmt numFmtId="171" formatCode="_-&quot;R$&quot;\ * #,##0.0000_-;\-&quot;R$&quot;\ * #,##0.0000_-;_-&quot;R$&quot;\ * &quot;-&quot;????_-;_-@_-"/>
  </numFmts>
  <fonts count="3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2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7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0"/>
      <sz val="14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rgb="FF000000"/>
      <sz val="11"/>
    </font>
    <font>
      <name val="Calibri"/>
      <family val="2"/>
      <color theme="1"/>
      <sz val="22"/>
      <scheme val="minor"/>
    </font>
    <font>
      <name val="Calibri"/>
      <family val="2"/>
      <color theme="1"/>
      <sz val="24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8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72"/>
      <scheme val="minor"/>
    </font>
    <font>
      <name val="Calibri"/>
      <family val="2"/>
      <b val="1"/>
      <color theme="0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0335"/>
        <bgColor indexed="64"/>
      </patternFill>
    </fill>
    <fill>
      <patternFill patternType="solid">
        <fgColor rgb="FFFD2825"/>
        <bgColor indexed="64"/>
      </patternFill>
    </fill>
    <fill>
      <patternFill patternType="solid">
        <fgColor rgb="FFFD56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1" fillId="0" borderId="0"/>
    <xf numFmtId="44" fontId="1" fillId="0" borderId="0"/>
    <xf numFmtId="9" fontId="1" fillId="0" borderId="0"/>
    <xf numFmtId="0" fontId="31" fillId="0" borderId="0"/>
    <xf numFmtId="44" fontId="1" fillId="0" borderId="0"/>
    <xf numFmtId="9" fontId="1" fillId="0" borderId="0"/>
    <xf numFmtId="0" fontId="31" fillId="0" borderId="0"/>
  </cellStyleXfs>
  <cellXfs count="38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7" fontId="0" fillId="0" borderId="1" pivotButton="0" quotePrefix="0" xfId="0"/>
    <xf numFmtId="2" fontId="0" fillId="0" borderId="0" pivotButton="0" quotePrefix="0" xfId="0"/>
    <xf numFmtId="2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4" fontId="0" fillId="0" borderId="0" pivotButton="0" quotePrefix="0" xfId="0"/>
    <xf numFmtId="4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4" fontId="0" fillId="0" borderId="1" applyAlignment="1" pivotButton="0" quotePrefix="0" xfId="0">
      <alignment horizontal="right"/>
    </xf>
    <xf numFmtId="0" fontId="0" fillId="3" borderId="3" applyAlignment="1" pivotButton="0" quotePrefix="0" xfId="0">
      <alignment horizontal="center" vertical="center" wrapText="1"/>
    </xf>
    <xf numFmtId="3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3" fontId="0" fillId="0" borderId="1" pivotButton="0" quotePrefix="0" xfId="0"/>
    <xf numFmtId="3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9" fontId="0" fillId="0" borderId="0" pivotButton="0" quotePrefix="0" xfId="0"/>
    <xf numFmtId="9" fontId="0" fillId="0" borderId="0" pivotButton="0" quotePrefix="0" xfId="2"/>
    <xf numFmtId="0" fontId="2" fillId="0" borderId="1" applyAlignment="1" pivotButton="0" quotePrefix="0" xfId="0">
      <alignment horizontal="center"/>
    </xf>
    <xf numFmtId="9" fontId="0" fillId="0" borderId="1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/>
    </xf>
    <xf numFmtId="10" fontId="0" fillId="0" borderId="0" pivotButton="0" quotePrefix="0" xfId="2"/>
    <xf numFmtId="1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6" borderId="2" pivotButton="0" quotePrefix="0" xfId="0"/>
    <xf numFmtId="0" fontId="0" fillId="4" borderId="2" pivotButton="0" quotePrefix="0" xfId="0"/>
    <xf numFmtId="0" fontId="5" fillId="0" borderId="2" applyAlignment="1" pivotButton="0" quotePrefix="0" xfId="0">
      <alignment horizontal="center"/>
    </xf>
    <xf numFmtId="0" fontId="7" fillId="0" borderId="15" pivotButton="0" quotePrefix="0" xfId="0"/>
    <xf numFmtId="0" fontId="8" fillId="0" borderId="0" applyAlignment="1" pivotButton="0" quotePrefix="0" xfId="0">
      <alignment horizontal="left" vertical="center"/>
    </xf>
    <xf numFmtId="10" fontId="8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16" pivotButton="0" quotePrefix="0" xfId="0"/>
    <xf numFmtId="0" fontId="15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7" fillId="0" borderId="0" pivotButton="0" quotePrefix="0" xfId="0"/>
    <xf numFmtId="0" fontId="1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/>
    </xf>
    <xf numFmtId="0" fontId="0" fillId="0" borderId="16" applyAlignment="1" pivotButton="0" quotePrefix="0" xfId="0">
      <alignment horizontal="left" vertical="center"/>
    </xf>
    <xf numFmtId="3" fontId="0" fillId="0" borderId="16" applyAlignment="1" pivotButton="0" quotePrefix="0" xfId="0">
      <alignment horizontal="center" vertical="center"/>
    </xf>
    <xf numFmtId="0" fontId="7" fillId="0" borderId="16" pivotButton="0" quotePrefix="0" xfId="0"/>
    <xf numFmtId="0" fontId="9" fillId="0" borderId="29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10" fontId="21" fillId="0" borderId="0" applyAlignment="1" pivotButton="0" quotePrefix="0" xfId="0">
      <alignment horizontal="center" vertical="center"/>
    </xf>
    <xf numFmtId="0" fontId="21" fillId="0" borderId="0" pivotButton="0" quotePrefix="0" xfId="0"/>
    <xf numFmtId="3" fontId="21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right"/>
    </xf>
    <xf numFmtId="0" fontId="21" fillId="0" borderId="0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left" vertical="center"/>
    </xf>
    <xf numFmtId="0" fontId="23" fillId="0" borderId="0" pivotButton="0" quotePrefix="0" xfId="0"/>
    <xf numFmtId="0" fontId="24" fillId="0" borderId="31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/>
    </xf>
    <xf numFmtId="0" fontId="21" fillId="0" borderId="20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0" pivotButton="0" quotePrefix="0" xfId="0"/>
    <xf numFmtId="0" fontId="21" fillId="2" borderId="16" pivotButton="0" quotePrefix="0" xfId="0"/>
    <xf numFmtId="3" fontId="21" fillId="6" borderId="21" applyAlignment="1" pivotButton="0" quotePrefix="0" xfId="0">
      <alignment horizontal="center" vertical="center"/>
    </xf>
    <xf numFmtId="3" fontId="3" fillId="6" borderId="2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1" fillId="0" borderId="13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9" fontId="21" fillId="2" borderId="13" applyAlignment="1" pivotButton="0" quotePrefix="0" xfId="2">
      <alignment horizontal="center" vertical="center"/>
    </xf>
    <xf numFmtId="9" fontId="21" fillId="2" borderId="0" applyAlignment="1" pivotButton="0" quotePrefix="0" xfId="2">
      <alignment horizontal="center" vertical="center"/>
    </xf>
    <xf numFmtId="9" fontId="21" fillId="2" borderId="0" pivotButton="0" quotePrefix="0" xfId="2"/>
    <xf numFmtId="0" fontId="0" fillId="0" borderId="41" pivotButton="0" quotePrefix="0" xfId="0"/>
    <xf numFmtId="0" fontId="21" fillId="0" borderId="42" pivotButton="0" quotePrefix="0" xfId="0"/>
    <xf numFmtId="0" fontId="0" fillId="0" borderId="0" applyAlignment="1" pivotButton="0" quotePrefix="0" xfId="0">
      <alignment horizontal="right"/>
    </xf>
    <xf numFmtId="9" fontId="21" fillId="0" borderId="42" pivotButton="0" quotePrefix="0" xfId="0"/>
    <xf numFmtId="0" fontId="0" fillId="0" borderId="43" pivotButton="0" quotePrefix="0" xfId="0"/>
    <xf numFmtId="0" fontId="2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3" fontId="0" fillId="0" borderId="9" applyAlignment="1" pivotButton="0" quotePrefix="0" xfId="0">
      <alignment horizontal="center" vertical="center"/>
    </xf>
    <xf numFmtId="10" fontId="8" fillId="0" borderId="9" applyAlignment="1" pivotButton="0" quotePrefix="0" xfId="0">
      <alignment horizontal="center" vertical="center"/>
    </xf>
    <xf numFmtId="0" fontId="21" fillId="0" borderId="45" applyAlignment="1" pivotButton="0" quotePrefix="0" xfId="0">
      <alignment horizontal="center" vertical="center"/>
    </xf>
    <xf numFmtId="9" fontId="21" fillId="2" borderId="45" applyAlignment="1" pivotButton="0" quotePrefix="0" xfId="1">
      <alignment horizontal="center" vertical="center"/>
    </xf>
    <xf numFmtId="0" fontId="0" fillId="2" borderId="0" applyAlignment="1" pivotButton="0" quotePrefix="0" xfId="0">
      <alignment horizontal="center"/>
    </xf>
    <xf numFmtId="0" fontId="24" fillId="0" borderId="0" applyAlignment="1" pivotButton="0" quotePrefix="0" xfId="0">
      <alignment vertical="center" wrapText="1"/>
    </xf>
    <xf numFmtId="0" fontId="0" fillId="3" borderId="1" applyAlignment="1" pivotButton="0" quotePrefix="0" xfId="0">
      <alignment horizontal="center"/>
    </xf>
    <xf numFmtId="10" fontId="0" fillId="3" borderId="1" applyAlignment="1" pivotButton="0" quotePrefix="0" xfId="0">
      <alignment horizontal="left"/>
    </xf>
    <xf numFmtId="0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left"/>
    </xf>
    <xf numFmtId="3" fontId="0" fillId="6" borderId="1" applyAlignment="1" pivotButton="0" quotePrefix="0" xfId="0">
      <alignment horizontal="left"/>
    </xf>
    <xf numFmtId="2" fontId="0" fillId="2" borderId="0" applyAlignment="1" pivotButton="0" quotePrefix="0" xfId="0">
      <alignment horizontal="center"/>
    </xf>
    <xf numFmtId="2" fontId="0" fillId="2" borderId="45" applyAlignment="1" pivotButton="0" quotePrefix="0" xfId="0">
      <alignment horizontal="center"/>
    </xf>
    <xf numFmtId="0" fontId="0" fillId="12" borderId="0" pivotButton="0" quotePrefix="0" xfId="0"/>
    <xf numFmtId="2" fontId="0" fillId="3" borderId="1" applyAlignment="1" pivotButton="0" quotePrefix="0" xfId="0">
      <alignment horizontal="left"/>
    </xf>
    <xf numFmtId="0" fontId="3" fillId="0" borderId="16" applyAlignment="1" pivotButton="0" quotePrefix="0" xfId="0">
      <alignment vertical="center" wrapText="1"/>
    </xf>
    <xf numFmtId="2" fontId="21" fillId="6" borderId="0" applyAlignment="1" pivotButton="0" quotePrefix="0" xfId="0">
      <alignment horizontal="center" vertical="center"/>
    </xf>
    <xf numFmtId="0" fontId="0" fillId="0" borderId="12" pivotButton="0" quotePrefix="0" xfId="0"/>
    <xf numFmtId="9" fontId="8" fillId="0" borderId="9" applyAlignment="1" pivotButton="0" quotePrefix="0" xfId="2">
      <alignment horizontal="center" vertical="center"/>
    </xf>
    <xf numFmtId="4" fontId="21" fillId="0" borderId="0" pivotButton="0" quotePrefix="0" xfId="0"/>
    <xf numFmtId="0" fontId="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33" fillId="0" borderId="0" applyAlignment="1" pivotButton="0" quotePrefix="0" xfId="0">
      <alignment textRotation="255" wrapText="1"/>
    </xf>
    <xf numFmtId="0" fontId="0" fillId="6" borderId="0" pivotButton="0" quotePrefix="0" xfId="0"/>
    <xf numFmtId="0" fontId="0" fillId="3" borderId="3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/>
    </xf>
    <xf numFmtId="17" fontId="29" fillId="1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11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 wrapText="1"/>
    </xf>
    <xf numFmtId="0" fontId="0" fillId="3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  <xf numFmtId="3" fontId="0" fillId="2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top"/>
    </xf>
    <xf numFmtId="4" fontId="0" fillId="2" borderId="1" applyAlignment="1" pivotButton="0" quotePrefix="0" xfId="0">
      <alignment horizontal="center" vertical="top"/>
    </xf>
    <xf numFmtId="10" fontId="0" fillId="2" borderId="1" applyAlignment="1" pivotButton="0" quotePrefix="0" xfId="0">
      <alignment horizontal="center" vertical="top"/>
    </xf>
    <xf numFmtId="3" fontId="0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top"/>
    </xf>
    <xf numFmtId="0" fontId="0" fillId="2" borderId="22" applyAlignment="1" pivotButton="0" quotePrefix="0" xfId="0">
      <alignment horizontal="center" vertical="top"/>
    </xf>
    <xf numFmtId="0" fontId="4" fillId="6" borderId="1" applyAlignment="1" pivotButton="0" quotePrefix="0" xfId="0">
      <alignment horizontal="center" vertical="top"/>
    </xf>
    <xf numFmtId="0" fontId="10" fillId="0" borderId="1" applyAlignment="1" pivotButton="0" quotePrefix="0" xfId="0">
      <alignment horizontal="center" vertical="top" wrapText="1"/>
    </xf>
    <xf numFmtId="0" fontId="24" fillId="0" borderId="0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8" fillId="8" borderId="14" applyAlignment="1" pivotButton="0" quotePrefix="0" xfId="0">
      <alignment horizontal="center" vertical="top" textRotation="255" wrapText="1"/>
    </xf>
    <xf numFmtId="0" fontId="28" fillId="8" borderId="19" applyAlignment="1" pivotButton="0" quotePrefix="0" xfId="0">
      <alignment horizontal="center" vertical="top"/>
    </xf>
    <xf numFmtId="0" fontId="28" fillId="8" borderId="29" applyAlignment="1" pivotButton="0" quotePrefix="0" xfId="0">
      <alignment horizontal="center" vertical="top"/>
    </xf>
    <xf numFmtId="0" fontId="28" fillId="8" borderId="16" applyAlignment="1" pivotButton="0" quotePrefix="0" xfId="0">
      <alignment horizontal="center" vertical="top" textRotation="255" wrapText="1"/>
    </xf>
    <xf numFmtId="14" fontId="9" fillId="2" borderId="12" applyAlignment="1" pivotButton="0" quotePrefix="0" xfId="0">
      <alignment horizontal="center" vertical="top"/>
    </xf>
    <xf numFmtId="14" fontId="9" fillId="2" borderId="38" applyAlignment="1" pivotButton="0" quotePrefix="0" xfId="0">
      <alignment horizontal="center" vertical="top"/>
    </xf>
    <xf numFmtId="0" fontId="9" fillId="2" borderId="38" applyAlignment="1" pivotButton="0" quotePrefix="0" xfId="0">
      <alignment horizontal="center" vertical="top"/>
    </xf>
    <xf numFmtId="0" fontId="28" fillId="9" borderId="29" applyAlignment="1" pivotButton="0" quotePrefix="0" xfId="0">
      <alignment horizontal="center" vertical="top"/>
    </xf>
    <xf numFmtId="14" fontId="0" fillId="0" borderId="0" applyAlignment="1" pivotButton="0" quotePrefix="0" xfId="0">
      <alignment vertical="top"/>
    </xf>
    <xf numFmtId="3" fontId="0" fillId="2" borderId="0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0" fillId="3" borderId="1" applyAlignment="1" pivotButton="0" quotePrefix="0" xfId="0">
      <alignment horizontal="left" vertical="top"/>
    </xf>
    <xf numFmtId="0" fontId="0" fillId="2" borderId="1" applyAlignment="1" pivotButton="0" quotePrefix="0" xfId="0">
      <alignment vertical="top"/>
    </xf>
    <xf numFmtId="10" fontId="0" fillId="2" borderId="1" applyAlignment="1" pivotButton="0" quotePrefix="0" xfId="0">
      <alignment vertical="top"/>
    </xf>
    <xf numFmtId="0" fontId="24" fillId="0" borderId="0" applyAlignment="1" pivotButton="0" quotePrefix="0" xfId="0">
      <alignment vertical="top" wrapText="1"/>
    </xf>
    <xf numFmtId="0" fontId="0" fillId="0" borderId="0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0" applyAlignment="1" pivotButton="0" quotePrefix="0" xfId="0">
      <alignment horizontal="left" vertical="center"/>
    </xf>
    <xf numFmtId="0" fontId="10" fillId="0" borderId="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5" pivotButton="0" quotePrefix="0" xfId="0"/>
    <xf numFmtId="0" fontId="0" fillId="0" borderId="18" pivotButton="0" quotePrefix="0" xfId="0"/>
    <xf numFmtId="0" fontId="24" fillId="0" borderId="3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15" applyAlignment="1" pivotButton="0" quotePrefix="0" xfId="0">
      <alignment horizontal="center"/>
    </xf>
    <xf numFmtId="0" fontId="0" fillId="0" borderId="17" pivotButton="0" quotePrefix="0" xfId="0"/>
    <xf numFmtId="0" fontId="2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1" fillId="2" borderId="13" applyAlignment="1" pivotButton="0" quotePrefix="0" xfId="1">
      <alignment horizontal="center" vertical="center"/>
    </xf>
    <xf numFmtId="164" fontId="21" fillId="2" borderId="14" applyAlignment="1" pivotButton="0" quotePrefix="0" xfId="1">
      <alignment horizontal="center" vertical="center"/>
    </xf>
    <xf numFmtId="164" fontId="21" fillId="2" borderId="0" applyAlignment="1" pivotButton="0" quotePrefix="0" xfId="1">
      <alignment horizontal="center" vertical="center"/>
    </xf>
    <xf numFmtId="164" fontId="21" fillId="2" borderId="16" applyAlignment="1" pivotButton="0" quotePrefix="0" xfId="1">
      <alignment horizontal="center" vertical="center"/>
    </xf>
    <xf numFmtId="164" fontId="21" fillId="2" borderId="0" pivotButton="0" quotePrefix="0" xfId="1"/>
    <xf numFmtId="164" fontId="0" fillId="0" borderId="0" applyAlignment="1" pivotButton="0" quotePrefix="0" xfId="1">
      <alignment horizontal="center"/>
    </xf>
    <xf numFmtId="165" fontId="21" fillId="2" borderId="0" applyAlignment="1" pivotButton="0" quotePrefix="0" xfId="1">
      <alignment horizontal="center" vertical="center"/>
    </xf>
    <xf numFmtId="164" fontId="21" fillId="6" borderId="0" applyAlignment="1" pivotButton="0" quotePrefix="0" xfId="0">
      <alignment horizontal="center" vertical="center"/>
    </xf>
    <xf numFmtId="164" fontId="21" fillId="2" borderId="42" applyAlignment="1" pivotButton="0" quotePrefix="0" xfId="1">
      <alignment horizontal="center" vertical="center"/>
    </xf>
    <xf numFmtId="164" fontId="0" fillId="0" borderId="0" pivotButton="0" quotePrefix="0" xfId="0"/>
    <xf numFmtId="165" fontId="21" fillId="2" borderId="45" applyAlignment="1" pivotButton="0" quotePrefix="0" xfId="1">
      <alignment horizontal="center" vertical="center"/>
    </xf>
    <xf numFmtId="164" fontId="21" fillId="6" borderId="22" applyAlignment="1" pivotButton="0" quotePrefix="0" xfId="0">
      <alignment horizontal="center" vertical="center"/>
    </xf>
    <xf numFmtId="164" fontId="21" fillId="2" borderId="45" applyAlignment="1" pivotButton="0" quotePrefix="0" xfId="1">
      <alignment horizontal="center" vertical="center"/>
    </xf>
    <xf numFmtId="164" fontId="21" fillId="6" borderId="0" pivotButton="0" quotePrefix="0" xfId="0"/>
    <xf numFmtId="164" fontId="21" fillId="0" borderId="0" applyAlignment="1" pivotButton="0" quotePrefix="0" xfId="1">
      <alignment horizontal="center" vertical="center"/>
    </xf>
    <xf numFmtId="164" fontId="21" fillId="6" borderId="42" applyAlignment="1" pivotButton="0" quotePrefix="0" xfId="1">
      <alignment horizontal="left" vertical="center"/>
    </xf>
    <xf numFmtId="166" fontId="21" fillId="0" borderId="0" pivotButton="0" quotePrefix="0" xfId="0"/>
    <xf numFmtId="164" fontId="21" fillId="6" borderId="42" applyAlignment="1" pivotButton="0" quotePrefix="0" xfId="0">
      <alignment horizontal="left"/>
    </xf>
    <xf numFmtId="164" fontId="21" fillId="0" borderId="42" applyAlignment="1" pivotButton="0" quotePrefix="0" xfId="1">
      <alignment horizontal="center" vertical="center"/>
    </xf>
    <xf numFmtId="164" fontId="21" fillId="0" borderId="0" applyAlignment="1" pivotButton="0" quotePrefix="0" xfId="1">
      <alignment horizontal="left" vertical="center"/>
    </xf>
    <xf numFmtId="164" fontId="8" fillId="0" borderId="9" applyAlignment="1" pivotButton="0" quotePrefix="0" xfId="1">
      <alignment horizontal="center" vertical="center"/>
    </xf>
    <xf numFmtId="164" fontId="8" fillId="0" borderId="44" applyAlignment="1" pivotButton="0" quotePrefix="0" xfId="1">
      <alignment horizontal="center" vertical="center"/>
    </xf>
    <xf numFmtId="164" fontId="8" fillId="0" borderId="0" applyAlignment="1" pivotButton="0" quotePrefix="0" xfId="1">
      <alignment horizontal="center" vertical="center"/>
    </xf>
    <xf numFmtId="167" fontId="0" fillId="2" borderId="0" applyAlignment="1" pivotButton="0" quotePrefix="0" xfId="0">
      <alignment horizontal="center"/>
    </xf>
    <xf numFmtId="168" fontId="0" fillId="2" borderId="32" applyAlignment="1" pivotButton="0" quotePrefix="0" xfId="0">
      <alignment vertical="center"/>
    </xf>
    <xf numFmtId="168" fontId="0" fillId="2" borderId="47" applyAlignment="1" pivotButton="0" quotePrefix="0" xfId="0">
      <alignment vertical="center"/>
    </xf>
    <xf numFmtId="164" fontId="0" fillId="2" borderId="33" pivotButton="0" quotePrefix="0" xfId="1"/>
    <xf numFmtId="168" fontId="0" fillId="6" borderId="28" applyAlignment="1" pivotButton="0" quotePrefix="0" xfId="0">
      <alignment vertical="center"/>
    </xf>
    <xf numFmtId="164" fontId="0" fillId="6" borderId="28" applyAlignment="1" pivotButton="0" quotePrefix="0" xfId="0">
      <alignment vertical="center"/>
    </xf>
    <xf numFmtId="169" fontId="0" fillId="3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168" fontId="0" fillId="2" borderId="1" applyAlignment="1" pivotButton="0" quotePrefix="0" xfId="0">
      <alignment horizontal="center" vertical="top"/>
    </xf>
    <xf numFmtId="170" fontId="9" fillId="2" borderId="38" applyAlignment="1" pivotButton="0" quotePrefix="0" xfId="0">
      <alignment horizontal="center" vertical="top"/>
    </xf>
    <xf numFmtId="164" fontId="0" fillId="3" borderId="3" applyAlignment="1" pivotButton="0" quotePrefix="0" xfId="0">
      <alignment horizontal="left"/>
    </xf>
    <xf numFmtId="17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/>
    </xf>
    <xf numFmtId="164" fontId="0" fillId="0" borderId="1" applyAlignment="1" pivotButton="0" quotePrefix="0" xfId="1">
      <alignment horizontal="center" vertical="center"/>
    </xf>
    <xf numFmtId="164" fontId="0" fillId="0" borderId="0" pivotButton="0" quotePrefix="0" xfId="1"/>
    <xf numFmtId="164" fontId="0" fillId="0" borderId="4" pivotButton="0" quotePrefix="0" xfId="0"/>
    <xf numFmtId="164" fontId="0" fillId="0" borderId="5" pivotButton="0" quotePrefix="0" xfId="0"/>
    <xf numFmtId="164" fontId="0" fillId="0" borderId="1" pivotButton="0" quotePrefix="0" xfId="0"/>
    <xf numFmtId="164" fontId="0" fillId="0" borderId="6" pivotButton="0" quotePrefix="0" xfId="0"/>
    <xf numFmtId="169" fontId="0" fillId="0" borderId="0" pivotButton="0" quotePrefix="0" xfId="0"/>
    <xf numFmtId="169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9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71" fontId="0" fillId="0" borderId="0" pivotButton="0" quotePrefix="0" xfId="0"/>
    <xf numFmtId="165" fontId="0" fillId="6" borderId="2" applyAlignment="1" pivotButton="0" quotePrefix="0" xfId="1">
      <alignment horizontal="center" vertical="center"/>
    </xf>
    <xf numFmtId="166" fontId="0" fillId="4" borderId="2" applyAlignment="1" pivotButton="0" quotePrefix="0" xfId="0">
      <alignment horizontal="center" vertical="center"/>
    </xf>
    <xf numFmtId="168" fontId="0" fillId="6" borderId="2" pivotButton="0" quotePrefix="0" xfId="0"/>
    <xf numFmtId="168" fontId="0" fillId="4" borderId="2" pivotButton="0" quotePrefix="0" xfId="0"/>
    <xf numFmtId="168" fontId="0" fillId="6" borderId="2" pivotButton="0" quotePrefix="0" xfId="1"/>
    <xf numFmtId="168" fontId="0" fillId="6" borderId="8" pivotButton="0" quotePrefix="0" xfId="1"/>
    <xf numFmtId="168" fontId="0" fillId="4" borderId="8" pivotButton="0" quotePrefix="0" xfId="0"/>
    <xf numFmtId="168" fontId="0" fillId="6" borderId="10" pivotButton="0" quotePrefix="0" xfId="0"/>
    <xf numFmtId="168" fontId="0" fillId="4" borderId="10" pivotButton="0" quotePrefix="0" xfId="0"/>
    <xf numFmtId="168" fontId="0" fillId="6" borderId="11" pivotButton="0" quotePrefix="0" xfId="1"/>
    <xf numFmtId="168" fontId="0" fillId="4" borderId="11" pivotButton="0" quotePrefix="0" xfId="1"/>
    <xf numFmtId="168" fontId="0" fillId="0" borderId="0" pivotButton="0" quotePrefix="0" xfId="0"/>
    <xf numFmtId="168" fontId="0" fillId="0" borderId="9" pivotButton="0" quotePrefix="0" xfId="0"/>
    <xf numFmtId="164" fontId="0" fillId="0" borderId="0" pivotButton="0" quotePrefix="0" xfId="2"/>
    <xf numFmtId="0" fontId="25" fillId="7" borderId="27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25" fillId="8" borderId="28" applyAlignment="1" pivotButton="0" quotePrefix="0" xfId="0">
      <alignment horizontal="center" vertical="center"/>
    </xf>
    <xf numFmtId="0" fontId="0" fillId="0" borderId="21" pivotButton="0" quotePrefix="0" xfId="0"/>
    <xf numFmtId="170" fontId="20" fillId="2" borderId="3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50" pivotButton="0" quotePrefix="0" xfId="0"/>
    <xf numFmtId="0" fontId="0" fillId="0" borderId="15" pivotButton="0" quotePrefix="0" xfId="0"/>
    <xf numFmtId="0" fontId="0" fillId="0" borderId="51" pivotButton="0" quotePrefix="0" xfId="0"/>
    <xf numFmtId="0" fontId="0" fillId="0" borderId="22" pivotButton="0" quotePrefix="0" xfId="0"/>
    <xf numFmtId="0" fontId="0" fillId="0" borderId="52" pivotButton="0" quotePrefix="0" xfId="0"/>
    <xf numFmtId="0" fontId="25" fillId="7" borderId="3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6" fillId="2" borderId="38" applyAlignment="1" pivotButton="0" quotePrefix="0" xfId="0">
      <alignment horizontal="center" vertical="center"/>
    </xf>
    <xf numFmtId="164" fontId="21" fillId="2" borderId="0" applyAlignment="1" pivotButton="0" quotePrefix="0" xfId="1">
      <alignment horizontal="center" vertical="center"/>
    </xf>
    <xf numFmtId="0" fontId="10" fillId="0" borderId="25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0" applyAlignment="1" pivotButton="0" quotePrefix="0" xfId="0">
      <alignment horizontal="left" vertical="center"/>
    </xf>
    <xf numFmtId="0" fontId="10" fillId="0" borderId="6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15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  <xf numFmtId="0" fontId="19" fillId="0" borderId="40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4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18" pivotButton="0" quotePrefix="0" xfId="0"/>
    <xf numFmtId="0" fontId="24" fillId="0" borderId="30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36" pivotButton="0" quotePrefix="0" xfId="0"/>
    <xf numFmtId="0" fontId="2" fillId="0" borderId="4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/>
    </xf>
    <xf numFmtId="0" fontId="25" fillId="9" borderId="29" applyAlignment="1" pivotButton="0" quotePrefix="0" xfId="0">
      <alignment horizontal="center" vertical="center"/>
    </xf>
    <xf numFmtId="0" fontId="25" fillId="8" borderId="29" applyAlignment="1" pivotButton="0" quotePrefix="0" xfId="0">
      <alignment horizontal="center" vertical="center"/>
    </xf>
    <xf numFmtId="0" fontId="13" fillId="0" borderId="46" applyAlignment="1" pivotButton="0" quotePrefix="0" xfId="0">
      <alignment horizontal="center" vertical="center" wrapText="1"/>
    </xf>
    <xf numFmtId="0" fontId="0" fillId="0" borderId="54" pivotButton="0" quotePrefix="0" xfId="0"/>
    <xf numFmtId="0" fontId="2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164" fontId="21" fillId="6" borderId="0" applyAlignment="1" pivotButton="0" quotePrefix="0" xfId="0">
      <alignment horizontal="center"/>
    </xf>
    <xf numFmtId="0" fontId="30" fillId="9" borderId="29" applyAlignment="1" pivotButton="0" quotePrefix="0" xfId="0">
      <alignment horizontal="center" vertical="center" wrapText="1"/>
    </xf>
    <xf numFmtId="164" fontId="21" fillId="6" borderId="28" applyAlignment="1" pivotButton="0" quotePrefix="0" xfId="1">
      <alignment horizontal="center" vertical="center"/>
    </xf>
    <xf numFmtId="0" fontId="21" fillId="0" borderId="13" applyAlignment="1" pivotButton="0" quotePrefix="0" xfId="0">
      <alignment horizontal="left" vertical="center"/>
    </xf>
    <xf numFmtId="164" fontId="21" fillId="6" borderId="0" applyAlignment="1" pivotButton="0" quotePrefix="0" xfId="1">
      <alignment horizontal="center" vertical="center"/>
    </xf>
    <xf numFmtId="0" fontId="23" fillId="0" borderId="0" applyAlignment="1" pivotButton="0" quotePrefix="0" xfId="0">
      <alignment horizontal="left" vertical="top"/>
    </xf>
    <xf numFmtId="0" fontId="10" fillId="0" borderId="24" applyAlignment="1" pivotButton="0" quotePrefix="0" xfId="0">
      <alignment horizontal="center" vertical="center"/>
    </xf>
    <xf numFmtId="0" fontId="26" fillId="9" borderId="36" applyAlignment="1" pivotButton="0" quotePrefix="0" xfId="0">
      <alignment horizontal="center" vertical="center"/>
    </xf>
    <xf numFmtId="0" fontId="25" fillId="7" borderId="28" applyAlignment="1" pivotButton="0" quotePrefix="0" xfId="0">
      <alignment horizontal="center" vertical="center"/>
    </xf>
    <xf numFmtId="164" fontId="21" fillId="2" borderId="45" applyAlignment="1" pivotButton="0" quotePrefix="0" xfId="1">
      <alignment horizontal="center"/>
    </xf>
    <xf numFmtId="0" fontId="0" fillId="0" borderId="45" pivotButton="0" quotePrefix="0" xfId="0"/>
    <xf numFmtId="0" fontId="25" fillId="8" borderId="32" applyAlignment="1" pivotButton="0" quotePrefix="0" xfId="0">
      <alignment horizontal="center" vertical="center"/>
    </xf>
    <xf numFmtId="0" fontId="25" fillId="7" borderId="4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/>
    </xf>
    <xf numFmtId="164" fontId="21" fillId="6" borderId="45" applyAlignment="1" pivotButton="0" quotePrefix="0" xfId="1">
      <alignment horizontal="center" vertical="center"/>
    </xf>
    <xf numFmtId="164" fontId="21" fillId="2" borderId="13" applyAlignment="1" pivotButton="0" quotePrefix="0" xfId="1">
      <alignment horizontal="center" vertical="center"/>
    </xf>
    <xf numFmtId="14" fontId="12" fillId="2" borderId="38" applyAlignment="1" pivotButton="0" quotePrefix="0" xfId="0">
      <alignment horizontal="center" vertical="center"/>
    </xf>
    <xf numFmtId="0" fontId="32" fillId="0" borderId="28" applyAlignment="1" pivotButton="0" quotePrefix="0" xfId="0">
      <alignment horizontal="center" vertical="center"/>
    </xf>
    <xf numFmtId="0" fontId="0" fillId="0" borderId="17" pivotButton="0" quotePrefix="0" xfId="0"/>
    <xf numFmtId="14" fontId="20" fillId="2" borderId="38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4" fillId="0" borderId="29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/>
    </xf>
    <xf numFmtId="0" fontId="27" fillId="8" borderId="19" applyAlignment="1" pivotButton="0" quotePrefix="0" xfId="0">
      <alignment horizontal="center" vertical="center" textRotation="255" wrapText="1"/>
    </xf>
    <xf numFmtId="0" fontId="25" fillId="7" borderId="39" applyAlignment="1" pivotButton="0" quotePrefix="0" xfId="0">
      <alignment horizontal="center" vertical="center"/>
    </xf>
    <xf numFmtId="0" fontId="0" fillId="0" borderId="53" pivotButton="0" quotePrefix="0" xfId="0"/>
    <xf numFmtId="0" fontId="13" fillId="0" borderId="28" applyAlignment="1" pivotButton="0" quotePrefix="0" xfId="0">
      <alignment horizontal="center" vertical="center" wrapText="1"/>
    </xf>
    <xf numFmtId="0" fontId="25" fillId="7" borderId="7" applyAlignment="1" pivotButton="0" quotePrefix="0" xfId="0">
      <alignment horizontal="center" vertical="center"/>
    </xf>
    <xf numFmtId="164" fontId="21" fillId="6" borderId="28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/>
    </xf>
    <xf numFmtId="14" fontId="12" fillId="2" borderId="28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0" fillId="0" borderId="45" applyAlignment="1" pivotButton="0" quotePrefix="0" xfId="0">
      <alignment horizontal="left" vertical="center"/>
    </xf>
    <xf numFmtId="0" fontId="28" fillId="9" borderId="29" applyAlignment="1" pivotButton="0" quotePrefix="0" xfId="0">
      <alignment horizontal="center" vertical="center" wrapText="1"/>
    </xf>
    <xf numFmtId="0" fontId="0" fillId="2" borderId="13" applyAlignment="1" pivotButton="0" quotePrefix="0" xfId="0">
      <alignment horizontal="center"/>
    </xf>
    <xf numFmtId="0" fontId="18" fillId="0" borderId="23" applyAlignment="1" pivotButton="0" quotePrefix="0" xfId="0">
      <alignment horizontal="center" vertical="center"/>
    </xf>
    <xf numFmtId="0" fontId="0" fillId="0" borderId="49" pivotButton="0" quotePrefix="0" xfId="0"/>
    <xf numFmtId="168" fontId="20" fillId="6" borderId="38" applyAlignment="1" pivotButton="0" quotePrefix="0" xfId="0">
      <alignment horizontal="center" vertical="center"/>
    </xf>
    <xf numFmtId="0" fontId="16" fillId="0" borderId="28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7" pivotButton="0" quotePrefix="0" xfId="0"/>
    <xf numFmtId="170" fontId="20" fillId="2" borderId="38" applyAlignment="1" pivotButton="0" quotePrefix="0" xfId="0">
      <alignment horizontal="center" vertical="center"/>
    </xf>
    <xf numFmtId="168" fontId="20" fillId="6" borderId="38" applyAlignment="1" pivotButton="0" quotePrefix="0" xfId="0">
      <alignment horizontal="center" vertical="center"/>
    </xf>
    <xf numFmtId="164" fontId="21" fillId="2" borderId="13" applyAlignment="1" pivotButton="0" quotePrefix="0" xfId="1">
      <alignment horizontal="center" vertical="center"/>
    </xf>
    <xf numFmtId="164" fontId="21" fillId="2" borderId="14" applyAlignment="1" pivotButton="0" quotePrefix="0" xfId="1">
      <alignment horizontal="center" vertical="center"/>
    </xf>
    <xf numFmtId="164" fontId="21" fillId="2" borderId="0" applyAlignment="1" pivotButton="0" quotePrefix="0" xfId="1">
      <alignment horizontal="center" vertical="center"/>
    </xf>
    <xf numFmtId="164" fontId="21" fillId="2" borderId="16" applyAlignment="1" pivotButton="0" quotePrefix="0" xfId="1">
      <alignment horizontal="center" vertical="center"/>
    </xf>
    <xf numFmtId="164" fontId="21" fillId="2" borderId="0" pivotButton="0" quotePrefix="0" xfId="1"/>
    <xf numFmtId="164" fontId="0" fillId="0" borderId="0" applyAlignment="1" pivotButton="0" quotePrefix="0" xfId="1">
      <alignment horizontal="center"/>
    </xf>
    <xf numFmtId="164" fontId="21" fillId="6" borderId="28" applyAlignment="1" pivotButton="0" quotePrefix="0" xfId="0">
      <alignment horizontal="center" vertical="center"/>
    </xf>
    <xf numFmtId="165" fontId="21" fillId="2" borderId="0" applyAlignment="1" pivotButton="0" quotePrefix="0" xfId="1">
      <alignment horizontal="center" vertical="center"/>
    </xf>
    <xf numFmtId="164" fontId="21" fillId="6" borderId="0" applyAlignment="1" pivotButton="0" quotePrefix="0" xfId="1">
      <alignment horizontal="center" vertical="center"/>
    </xf>
    <xf numFmtId="164" fontId="21" fillId="6" borderId="0" applyAlignment="1" pivotButton="0" quotePrefix="0" xfId="0">
      <alignment horizontal="center" vertical="center"/>
    </xf>
    <xf numFmtId="164" fontId="21" fillId="6" borderId="0" applyAlignment="1" pivotButton="0" quotePrefix="0" xfId="0">
      <alignment horizontal="center"/>
    </xf>
    <xf numFmtId="164" fontId="21" fillId="2" borderId="42" applyAlignment="1" pivotButton="0" quotePrefix="0" xfId="1">
      <alignment horizontal="center" vertical="center"/>
    </xf>
    <xf numFmtId="164" fontId="0" fillId="0" borderId="0" pivotButton="0" quotePrefix="0" xfId="0"/>
    <xf numFmtId="165" fontId="21" fillId="2" borderId="45" applyAlignment="1" pivotButton="0" quotePrefix="0" xfId="1">
      <alignment horizontal="center" vertical="center"/>
    </xf>
    <xf numFmtId="164" fontId="21" fillId="6" borderId="45" applyAlignment="1" pivotButton="0" quotePrefix="0" xfId="1">
      <alignment horizontal="center" vertical="center"/>
    </xf>
    <xf numFmtId="164" fontId="21" fillId="6" borderId="22" applyAlignment="1" pivotButton="0" quotePrefix="0" xfId="0">
      <alignment horizontal="center" vertical="center"/>
    </xf>
    <xf numFmtId="164" fontId="21" fillId="2" borderId="45" applyAlignment="1" pivotButton="0" quotePrefix="0" xfId="1">
      <alignment horizontal="center"/>
    </xf>
    <xf numFmtId="164" fontId="21" fillId="2" borderId="45" applyAlignment="1" pivotButton="0" quotePrefix="0" xfId="1">
      <alignment horizontal="center" vertical="center"/>
    </xf>
    <xf numFmtId="164" fontId="21" fillId="6" borderId="0" pivotButton="0" quotePrefix="0" xfId="0"/>
    <xf numFmtId="164" fontId="21" fillId="0" borderId="0" applyAlignment="1" pivotButton="0" quotePrefix="0" xfId="1">
      <alignment horizontal="center" vertical="center"/>
    </xf>
    <xf numFmtId="164" fontId="21" fillId="6" borderId="42" applyAlignment="1" pivotButton="0" quotePrefix="0" xfId="1">
      <alignment horizontal="left" vertical="center"/>
    </xf>
    <xf numFmtId="166" fontId="21" fillId="0" borderId="0" pivotButton="0" quotePrefix="0" xfId="0"/>
    <xf numFmtId="164" fontId="21" fillId="6" borderId="42" applyAlignment="1" pivotButton="0" quotePrefix="0" xfId="0">
      <alignment horizontal="left"/>
    </xf>
    <xf numFmtId="164" fontId="0" fillId="2" borderId="0" applyAlignment="1" pivotButton="0" quotePrefix="0" xfId="0">
      <alignment horizontal="center"/>
    </xf>
    <xf numFmtId="164" fontId="21" fillId="0" borderId="42" applyAlignment="1" pivotButton="0" quotePrefix="0" xfId="1">
      <alignment horizontal="center" vertical="center"/>
    </xf>
    <xf numFmtId="164" fontId="21" fillId="0" borderId="0" applyAlignment="1" pivotButton="0" quotePrefix="0" xfId="1">
      <alignment horizontal="left" vertical="center"/>
    </xf>
    <xf numFmtId="164" fontId="21" fillId="6" borderId="28" applyAlignment="1" pivotButton="0" quotePrefix="0" xfId="1">
      <alignment horizontal="center" vertical="center"/>
    </xf>
    <xf numFmtId="164" fontId="8" fillId="0" borderId="9" applyAlignment="1" pivotButton="0" quotePrefix="0" xfId="1">
      <alignment horizontal="center" vertical="center"/>
    </xf>
    <xf numFmtId="164" fontId="8" fillId="0" borderId="44" applyAlignment="1" pivotButton="0" quotePrefix="0" xfId="1">
      <alignment horizontal="center" vertical="center"/>
    </xf>
    <xf numFmtId="164" fontId="8" fillId="0" borderId="0" applyAlignment="1" pivotButton="0" quotePrefix="0" xfId="1">
      <alignment horizontal="center" vertical="center"/>
    </xf>
    <xf numFmtId="167" fontId="0" fillId="2" borderId="0" applyAlignment="1" pivotButton="0" quotePrefix="0" xfId="0">
      <alignment horizontal="center"/>
    </xf>
    <xf numFmtId="168" fontId="0" fillId="2" borderId="32" applyAlignment="1" pivotButton="0" quotePrefix="0" xfId="0">
      <alignment vertical="center"/>
    </xf>
    <xf numFmtId="168" fontId="0" fillId="2" borderId="47" applyAlignment="1" pivotButton="0" quotePrefix="0" xfId="0">
      <alignment vertical="center"/>
    </xf>
    <xf numFmtId="164" fontId="0" fillId="2" borderId="33" pivotButton="0" quotePrefix="0" xfId="1"/>
    <xf numFmtId="168" fontId="0" fillId="6" borderId="28" applyAlignment="1" pivotButton="0" quotePrefix="0" xfId="0">
      <alignment vertical="center"/>
    </xf>
    <xf numFmtId="164" fontId="0" fillId="6" borderId="28" applyAlignment="1" pivotButton="0" quotePrefix="0" xfId="0">
      <alignment vertical="center"/>
    </xf>
    <xf numFmtId="169" fontId="0" fillId="3" borderId="1" applyAlignment="1" pivotButton="0" quotePrefix="0" xfId="0">
      <alignment horizontal="left"/>
    </xf>
    <xf numFmtId="164" fontId="0" fillId="3" borderId="1" applyAlignment="1" pivotButton="0" quotePrefix="0" xfId="0">
      <alignment horizontal="left"/>
    </xf>
    <xf numFmtId="168" fontId="0" fillId="2" borderId="1" applyAlignment="1" pivotButton="0" quotePrefix="0" xfId="0">
      <alignment horizontal="center" vertical="top"/>
    </xf>
    <xf numFmtId="170" fontId="9" fillId="2" borderId="38" applyAlignment="1" pivotButton="0" quotePrefix="0" xfId="0">
      <alignment horizontal="center" vertical="top"/>
    </xf>
    <xf numFmtId="164" fontId="0" fillId="3" borderId="3" applyAlignment="1" pivotButton="0" quotePrefix="0" xfId="0">
      <alignment horizontal="left"/>
    </xf>
    <xf numFmtId="17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/>
    </xf>
    <xf numFmtId="164" fontId="0" fillId="0" borderId="1" applyAlignment="1" pivotButton="0" quotePrefix="0" xfId="1">
      <alignment horizontal="center" vertical="center"/>
    </xf>
    <xf numFmtId="164" fontId="0" fillId="0" borderId="0" pivotButton="0" quotePrefix="0" xfId="1"/>
    <xf numFmtId="164" fontId="0" fillId="0" borderId="4" pivotButton="0" quotePrefix="0" xfId="0"/>
    <xf numFmtId="164" fontId="0" fillId="0" borderId="5" pivotButton="0" quotePrefix="0" xfId="0"/>
    <xf numFmtId="164" fontId="0" fillId="0" borderId="1" pivotButton="0" quotePrefix="0" xfId="0"/>
    <xf numFmtId="164" fontId="0" fillId="0" borderId="6" pivotButton="0" quotePrefix="0" xfId="0"/>
    <xf numFmtId="169" fontId="0" fillId="0" borderId="0" pivotButton="0" quotePrefix="0" xfId="0"/>
    <xf numFmtId="169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9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71" fontId="0" fillId="0" borderId="0" pivotButton="0" quotePrefix="0" xfId="0"/>
    <xf numFmtId="165" fontId="0" fillId="6" borderId="2" applyAlignment="1" pivotButton="0" quotePrefix="0" xfId="1">
      <alignment horizontal="center" vertical="center"/>
    </xf>
    <xf numFmtId="166" fontId="0" fillId="4" borderId="2" applyAlignment="1" pivotButton="0" quotePrefix="0" xfId="0">
      <alignment horizontal="center" vertical="center"/>
    </xf>
    <xf numFmtId="168" fontId="0" fillId="6" borderId="2" pivotButton="0" quotePrefix="0" xfId="0"/>
    <xf numFmtId="168" fontId="0" fillId="4" borderId="2" pivotButton="0" quotePrefix="0" xfId="0"/>
    <xf numFmtId="168" fontId="0" fillId="6" borderId="2" pivotButton="0" quotePrefix="0" xfId="1"/>
    <xf numFmtId="168" fontId="0" fillId="6" borderId="8" pivotButton="0" quotePrefix="0" xfId="1"/>
    <xf numFmtId="168" fontId="0" fillId="4" borderId="8" pivotButton="0" quotePrefix="0" xfId="0"/>
    <xf numFmtId="168" fontId="0" fillId="6" borderId="10" pivotButton="0" quotePrefix="0" xfId="0"/>
    <xf numFmtId="168" fontId="0" fillId="4" borderId="10" pivotButton="0" quotePrefix="0" xfId="0"/>
    <xf numFmtId="168" fontId="0" fillId="6" borderId="11" pivotButton="0" quotePrefix="0" xfId="1"/>
    <xf numFmtId="168" fontId="0" fillId="4" borderId="11" pivotButton="0" quotePrefix="0" xfId="1"/>
    <xf numFmtId="168" fontId="0" fillId="0" borderId="0" pivotButton="0" quotePrefix="0" xfId="0"/>
    <xf numFmtId="168" fontId="0" fillId="0" borderId="9" pivotButton="0" quotePrefix="0" xfId="0"/>
    <xf numFmtId="164" fontId="0" fillId="0" borderId="0" pivotButton="0" quotePrefix="0" xfId="2"/>
  </cellXfs>
  <cellStyles count="7">
    <cellStyle name="Normal" xfId="0" builtinId="0"/>
    <cellStyle name="Moeda" xfId="1" builtinId="4"/>
    <cellStyle name="Porcentagem" xfId="2" builtinId="5"/>
    <cellStyle name="Hyperlink" xfId="3"/>
    <cellStyle name="Moeda 2" xfId="4"/>
    <cellStyle name="Porcentagem 2" xfId="5"/>
    <cellStyle name="Hyperlink 2" xfId="6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3" formatCode="#,##0"/>
      <fill>
        <patternFill patternType="solid">
          <fgColor indexed="64"/>
          <bgColor theme="5" tint="0.5999938962981048"/>
        </patternFill>
      </fill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"/>
        </patternFill>
      </fill>
      <alignment horizont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5999938962981048"/>
        </patternFill>
      </fill>
    </dxf>
    <dxf>
      <numFmt numFmtId="34" formatCode="_-&quot;R$&quot;\ * #,##0.00_-;\-&quot;R$&quot;\ * #,##0.00_-;_-&quot;R$&quot;\ * &quot;-&quot;??_-;_-@_-"/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a1" displayName="Tabela1" ref="B6:C61" headerRowCount="1" totalsRowShown="0">
  <autoFilter ref="B6:C61"/>
  <tableColumns count="2">
    <tableColumn id="1" name="A" dataDxfId="37"/>
    <tableColumn id="2" name="Coluna1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E6:F10" headerRowCount="1" totalsRowShown="0" dataDxfId="35">
  <autoFilter ref="E6:F10"/>
  <sortState ref="E7:F18">
    <sortCondition ref="E6:E18"/>
  </sortState>
  <tableColumns count="2">
    <tableColumn id="1" name="B" dataDxfId="34"/>
    <tableColumn id="2" name="Coluna1" dataDxf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tabColor rgb="FF0070C0"/>
    <outlinePr summaryBelow="1" summaryRight="1"/>
    <pageSetUpPr fitToPage="1"/>
  </sheetPr>
  <dimension ref="A2:AL109"/>
  <sheetViews>
    <sheetView showGridLines="0" zoomScale="40" zoomScaleNormal="40" zoomScaleSheetLayoutView="40" zoomScalePageLayoutView="21" workbookViewId="0">
      <selection activeCell="Y16" sqref="Y16"/>
    </sheetView>
  </sheetViews>
  <sheetFormatPr baseColWidth="8" defaultRowHeight="15"/>
  <cols>
    <col width="3.42578125" customWidth="1" style="235" min="1" max="1"/>
    <col width="13.7109375" customWidth="1" style="235" min="3" max="3"/>
    <col width="24.42578125" customWidth="1" style="235" min="4" max="4"/>
    <col width="10.42578125" customWidth="1" style="235" min="6" max="6"/>
    <col width="15.28515625" customWidth="1" style="235" min="7" max="7"/>
    <col width="18.140625" customWidth="1" style="235" min="8" max="8"/>
    <col width="16.42578125" customWidth="1" style="235" min="9" max="9"/>
    <col width="11.42578125" customWidth="1" style="235" min="10" max="10"/>
    <col width="15" customWidth="1" style="235" min="11" max="11"/>
    <col width="17.28515625" customWidth="1" style="235" min="12" max="12"/>
    <col width="6.7109375" customWidth="1" style="235" min="13" max="13"/>
    <col width="4.85546875" customWidth="1" style="235" min="14" max="14"/>
    <col width="17.140625" customWidth="1" style="235" min="15" max="15"/>
    <col width="16.5703125" customWidth="1" style="235" min="16" max="16"/>
    <col width="15.85546875" customWidth="1" style="235" min="17" max="17"/>
    <col width="13.28515625" customWidth="1" style="235" min="18" max="18"/>
    <col width="5.28515625" customWidth="1" style="235" min="19" max="19"/>
    <col width="12.85546875" bestFit="1" customWidth="1" style="235" min="20" max="20"/>
    <col width="13.5703125" customWidth="1" style="235" min="21" max="23"/>
    <col width="7.5703125" customWidth="1" style="235" min="24" max="24"/>
    <col width="17.42578125" customWidth="1" style="235" min="25" max="25"/>
    <col width="18.28515625" customWidth="1" style="235" min="26" max="26"/>
    <col width="19.28515625" customWidth="1" style="235" min="27" max="27"/>
    <col width="15.140625" bestFit="1" customWidth="1" style="235" min="28" max="29"/>
    <col width="13.5703125" customWidth="1" style="235" min="30" max="44"/>
    <col width="20.28515625" customWidth="1" style="235" min="45" max="45"/>
    <col width="13.85546875" customWidth="1" style="235" min="46" max="46"/>
  </cols>
  <sheetData>
    <row r="1" ht="15" customHeight="1" s="235" thickBot="1"/>
    <row r="2" ht="24.75" customHeight="1" s="235">
      <c r="F2" s="283" t="inlineStr">
        <is>
          <t>CLASSIFICAÇÃO DA UNIDADE CONSUMIDORA</t>
        </is>
      </c>
      <c r="G2" s="230" t="n"/>
      <c r="H2" s="230" t="n"/>
      <c r="I2" s="230" t="n"/>
      <c r="J2" s="230" t="n"/>
      <c r="K2" s="230" t="n"/>
      <c r="L2" s="231" t="n"/>
      <c r="M2" s="229" t="inlineStr">
        <is>
          <t>TIPO DE FORNECIMENTO</t>
        </is>
      </c>
      <c r="N2" s="230" t="n"/>
      <c r="O2" s="230" t="n"/>
      <c r="P2" s="230" t="n"/>
      <c r="Q2" s="230" t="n"/>
      <c r="R2" s="231" t="n"/>
    </row>
    <row r="3" ht="15" customHeight="1" s="235">
      <c r="F3" s="306" t="inlineStr">
        <is>
          <t>B3 Comercial- CONV. - Comercial</t>
        </is>
      </c>
      <c r="G3" s="254" t="n"/>
      <c r="H3" s="254" t="n"/>
      <c r="I3" s="254" t="n"/>
      <c r="J3" s="254" t="n"/>
      <c r="K3" s="254" t="n"/>
      <c r="L3" s="307" t="n"/>
      <c r="M3" s="253" t="inlineStr">
        <is>
          <t>TRIFÁSICO</t>
        </is>
      </c>
      <c r="N3" s="254" t="n"/>
      <c r="O3" s="254" t="n"/>
      <c r="P3" s="254" t="n"/>
      <c r="Q3" s="254" t="n"/>
      <c r="R3" s="255" t="n"/>
    </row>
    <row r="4" ht="15" customHeight="1" s="235">
      <c r="F4" s="237" t="n"/>
      <c r="L4" s="236" t="n"/>
      <c r="R4" s="256" t="n"/>
    </row>
    <row r="5" ht="15" customHeight="1" s="235" thickBot="1">
      <c r="F5" s="238" t="n"/>
      <c r="G5" s="239" t="n"/>
      <c r="H5" s="239" t="n"/>
      <c r="I5" s="239" t="n"/>
      <c r="J5" s="239" t="n"/>
      <c r="K5" s="239" t="n"/>
      <c r="L5" s="240" t="n"/>
      <c r="M5" s="257" t="n"/>
      <c r="N5" s="257" t="n"/>
      <c r="O5" s="257" t="n"/>
      <c r="P5" s="257" t="n"/>
      <c r="Q5" s="257" t="n"/>
      <c r="R5" s="258" t="n"/>
    </row>
    <row r="6" ht="12.75" customHeight="1" s="235" thickBot="1"/>
    <row r="7" ht="30.75" customHeight="1" s="235" thickBot="1">
      <c r="I7" s="272" t="inlineStr">
        <is>
          <t>INSTALAÇÃO/ UNIDADE GERADORA</t>
        </is>
      </c>
      <c r="J7" s="261" t="n"/>
      <c r="K7" s="278" t="inlineStr">
        <is>
          <t>INSTALAÇÃO/ UNIDADE CONSUMID.</t>
        </is>
      </c>
      <c r="L7" s="260" t="n"/>
      <c r="M7" s="261" t="n"/>
      <c r="O7" s="294" t="inlineStr">
        <is>
          <t>DATAS DA LEITURA</t>
        </is>
      </c>
      <c r="P7" s="242" t="n"/>
      <c r="Q7" s="232" t="inlineStr">
        <is>
          <t>LEITURA ANTERIOR</t>
        </is>
      </c>
      <c r="R7" s="233" t="n"/>
    </row>
    <row r="8" ht="30" customHeight="1" s="235" thickBot="1">
      <c r="C8" s="68" t="inlineStr">
        <is>
          <t>Supermercado São Francisco</t>
        </is>
      </c>
      <c r="I8" s="267" t="n">
        <v>57161534</v>
      </c>
      <c r="J8" s="268" t="n"/>
      <c r="K8" s="297" t="n">
        <v>7980873</v>
      </c>
      <c r="L8" s="242" t="n"/>
      <c r="M8" s="243" t="n"/>
      <c r="O8" s="237" t="n"/>
      <c r="Q8" s="301">
        <f>dados!J24</f>
        <v/>
      </c>
      <c r="R8" s="243" t="n"/>
      <c r="V8" s="49" t="n"/>
      <c r="AB8" s="49" t="n"/>
      <c r="AC8" s="49" t="n"/>
    </row>
    <row r="9" ht="27.75" customHeight="1" s="235" thickBot="1">
      <c r="I9" s="267" t="n">
        <v>57067766</v>
      </c>
      <c r="J9" s="268" t="n"/>
      <c r="K9" s="289" t="n"/>
      <c r="L9" s="257" t="n"/>
      <c r="M9" s="258" t="n"/>
      <c r="O9" s="237" t="n"/>
      <c r="Q9" s="237" t="n"/>
      <c r="R9" s="256" t="n"/>
      <c r="V9" s="49" t="n"/>
      <c r="AB9" s="49" t="n"/>
      <c r="AC9" s="49" t="n"/>
    </row>
    <row r="10" ht="27.75" customHeight="1" s="235" thickBot="1">
      <c r="C10" s="68" t="inlineStr">
        <is>
          <t>Rua Getúlio Vargas 253 CS Altos</t>
        </is>
      </c>
      <c r="K10" s="263" t="n"/>
      <c r="O10" s="237" t="n"/>
      <c r="Q10" s="289" t="n"/>
      <c r="R10" s="258" t="n"/>
      <c r="S10" s="49" t="n"/>
      <c r="V10" s="49" t="n"/>
      <c r="AB10" s="49" t="n"/>
      <c r="AC10" s="49" t="n"/>
    </row>
    <row r="11" ht="30" customHeight="1" s="235" thickBot="1">
      <c r="C11" s="68" t="inlineStr">
        <is>
          <t>Centro, Aracoiaba-CE</t>
        </is>
      </c>
      <c r="K11" s="263" t="n"/>
      <c r="O11" s="237" t="n"/>
      <c r="Q11" s="266" t="inlineStr">
        <is>
          <t>LEITURA ATUAL</t>
        </is>
      </c>
      <c r="R11" s="261" t="n"/>
      <c r="V11" s="49" t="n"/>
      <c r="AB11" s="49" t="n"/>
      <c r="AC11" s="49" t="n"/>
    </row>
    <row r="12" ht="30" customHeight="1" s="235" thickBot="1">
      <c r="C12" s="68" t="inlineStr">
        <is>
          <t>CEP: 62750-000</t>
        </is>
      </c>
      <c r="I12" s="304" t="inlineStr">
        <is>
          <t>N DO CLIENTE / UNIDADE GERADORA</t>
        </is>
      </c>
      <c r="J12" s="261" t="n"/>
      <c r="K12" s="265" t="inlineStr">
        <is>
          <t>N DO CLIENTE</t>
        </is>
      </c>
      <c r="L12" s="260" t="n"/>
      <c r="M12" s="261" t="n"/>
      <c r="O12" s="237" t="n"/>
      <c r="Q12" s="287">
        <f>dados!K24</f>
        <v/>
      </c>
      <c r="R12" s="236" t="n"/>
      <c r="V12" s="49" t="n"/>
      <c r="Z12" s="49" t="n"/>
      <c r="AA12" s="49" t="n"/>
      <c r="AB12" s="49" t="n"/>
      <c r="AC12" s="49" t="n"/>
    </row>
    <row r="13" ht="30" customHeight="1" s="235" thickBot="1">
      <c r="C13" s="276" t="inlineStr">
        <is>
          <t>CNPJ: 20.981.630/0001-00</t>
        </is>
      </c>
      <c r="I13" s="267" t="n">
        <v>57168334</v>
      </c>
      <c r="J13" s="268" t="n"/>
      <c r="K13" s="297" t="n">
        <v>7980873</v>
      </c>
      <c r="L13" s="242" t="n"/>
      <c r="M13" s="243" t="n"/>
      <c r="O13" s="237" t="n"/>
      <c r="Q13" s="238" t="n"/>
      <c r="R13" s="240" t="n"/>
      <c r="V13" s="49" t="n"/>
      <c r="Z13" s="49" t="n"/>
      <c r="AA13" s="49" t="n"/>
      <c r="AB13" s="49" t="n"/>
      <c r="AC13" s="49" t="n"/>
    </row>
    <row r="14" ht="26.25" customHeight="1" s="235" thickBot="1">
      <c r="I14" s="267" t="n">
        <v>57067766</v>
      </c>
      <c r="J14" s="268" t="n"/>
      <c r="K14" s="289" t="n"/>
      <c r="L14" s="257" t="n"/>
      <c r="M14" s="258" t="n"/>
      <c r="O14" s="237" t="n"/>
      <c r="Q14" s="266" t="inlineStr">
        <is>
          <t>N DE DIAS</t>
        </is>
      </c>
      <c r="R14" s="261" t="n"/>
      <c r="V14" s="49" t="n"/>
      <c r="Z14" s="49" t="n"/>
      <c r="AA14" s="49" t="n"/>
      <c r="AB14" s="49" t="n"/>
      <c r="AC14" s="49" t="n"/>
    </row>
    <row r="15" ht="26.25" customHeight="1" s="235">
      <c r="K15" s="263" t="n"/>
      <c r="O15" s="237" t="n"/>
      <c r="Q15" s="244">
        <f>dados!L24</f>
        <v/>
      </c>
      <c r="R15" s="236" t="n"/>
      <c r="V15" s="49" t="n"/>
      <c r="Z15" s="49" t="n"/>
      <c r="AA15" s="49" t="n"/>
      <c r="AB15" s="49" t="n"/>
      <c r="AC15" s="49" t="n"/>
    </row>
    <row r="16" ht="11.25" customHeight="1" s="235" thickBot="1">
      <c r="K16" s="263" t="n"/>
      <c r="O16" s="237" t="n"/>
      <c r="Q16" s="238" t="n"/>
      <c r="R16" s="240" t="n"/>
      <c r="S16" s="49" t="n"/>
      <c r="T16" s="49" t="n"/>
      <c r="Z16" s="49" t="n"/>
      <c r="AA16" s="49" t="n"/>
      <c r="AB16" s="49" t="n"/>
      <c r="AC16" s="49" t="n"/>
    </row>
    <row r="17" ht="26.25" customHeight="1" s="235" thickBot="1">
      <c r="B17" s="265" t="inlineStr">
        <is>
          <t>MÊS/ANO</t>
        </is>
      </c>
      <c r="C17" s="260" t="n"/>
      <c r="D17" s="261" t="n"/>
      <c r="E17" s="265" t="inlineStr">
        <is>
          <t>VENCIMENTO</t>
        </is>
      </c>
      <c r="F17" s="260" t="n"/>
      <c r="G17" s="260" t="n"/>
      <c r="H17" s="261" t="n"/>
      <c r="I17" s="265" t="inlineStr">
        <is>
          <t>TOTAL A PAGAR</t>
        </is>
      </c>
      <c r="J17" s="260" t="n"/>
      <c r="K17" s="260" t="n"/>
      <c r="L17" s="260" t="n"/>
      <c r="M17" s="261" t="n"/>
      <c r="O17" s="237" t="n"/>
      <c r="Q17" s="266" t="inlineStr">
        <is>
          <t>PRÓXIMA LEITURA</t>
        </is>
      </c>
      <c r="R17" s="261" t="n"/>
      <c r="S17" s="49" t="n"/>
      <c r="Z17" s="49" t="n"/>
      <c r="AA17" s="49" t="n"/>
      <c r="AB17" s="49" t="n"/>
      <c r="AC17" s="49" t="n"/>
    </row>
    <row r="18" ht="11.25" customHeight="1" s="235">
      <c r="B18" s="313">
        <f>dados!J27</f>
        <v/>
      </c>
      <c r="D18" s="236" t="n"/>
      <c r="E18" s="290">
        <f>dados!K27</f>
        <v/>
      </c>
      <c r="H18" s="236" t="n"/>
      <c r="I18" s="314">
        <f>Q60</f>
        <v/>
      </c>
      <c r="M18" s="236" t="n"/>
      <c r="O18" s="237" t="n"/>
      <c r="Q18" s="287">
        <f>dados!M24</f>
        <v/>
      </c>
      <c r="R18" s="236" t="n"/>
      <c r="S18" s="49" t="n"/>
      <c r="Z18" s="49" t="n"/>
      <c r="AA18" s="49" t="n"/>
      <c r="AB18" s="49" t="n"/>
      <c r="AC18" s="49" t="n"/>
    </row>
    <row r="19" ht="15" customHeight="1" s="235">
      <c r="B19" s="237" t="n"/>
      <c r="D19" s="236" t="n"/>
      <c r="E19" s="237" t="n"/>
      <c r="H19" s="236" t="n"/>
      <c r="I19" s="237" t="n"/>
      <c r="M19" s="236" t="n"/>
      <c r="O19" s="237" t="n"/>
      <c r="Q19" s="237" t="n"/>
      <c r="R19" s="236" t="n"/>
      <c r="S19" s="49" t="n"/>
      <c r="T19" s="49" t="n"/>
      <c r="Z19" s="49" t="n"/>
      <c r="AA19" s="49" t="n"/>
      <c r="AB19" s="49" t="n"/>
      <c r="AC19" s="49" t="n"/>
    </row>
    <row r="20" ht="15" customHeight="1" s="235" thickBot="1">
      <c r="B20" s="238" t="n"/>
      <c r="C20" s="239" t="n"/>
      <c r="D20" s="240" t="n"/>
      <c r="E20" s="238" t="n"/>
      <c r="F20" s="239" t="n"/>
      <c r="G20" s="239" t="n"/>
      <c r="H20" s="240" t="n"/>
      <c r="I20" s="238" t="n"/>
      <c r="J20" s="239" t="n"/>
      <c r="K20" s="239" t="n"/>
      <c r="L20" s="239" t="n"/>
      <c r="M20" s="240" t="n"/>
      <c r="O20" s="289" t="n"/>
      <c r="P20" s="257" t="n"/>
      <c r="Q20" s="238" t="n"/>
      <c r="R20" s="240" t="n"/>
      <c r="S20" s="49" t="n"/>
      <c r="T20" s="49" t="n"/>
    </row>
    <row r="21" ht="10.5" customHeight="1" s="235">
      <c r="P21" s="49" t="n"/>
      <c r="Q21" s="49" t="n"/>
      <c r="R21" s="49" t="n"/>
      <c r="S21" s="49" t="n"/>
      <c r="T21" s="49" t="n"/>
    </row>
    <row r="22" ht="10.5" customHeight="1" s="235" thickBot="1">
      <c r="AD22" s="45" t="n"/>
      <c r="AE22" s="248" t="n"/>
    </row>
    <row r="23" ht="21.75" customHeight="1" s="235" thickBot="1">
      <c r="B23" s="279" t="inlineStr">
        <is>
          <t>DESCRIÇÃO DO FATURAMENTO ENEL (SEM SUN FARM)</t>
        </is>
      </c>
      <c r="C23" s="260" t="n"/>
      <c r="D23" s="260" t="n"/>
      <c r="E23" s="260" t="n"/>
      <c r="F23" s="260" t="n"/>
      <c r="G23" s="260" t="n"/>
      <c r="H23" s="260" t="n"/>
      <c r="I23" s="260" t="n"/>
      <c r="J23" s="260" t="n"/>
      <c r="K23" s="260" t="n"/>
      <c r="L23" s="260" t="n"/>
      <c r="M23" s="260" t="n"/>
      <c r="N23" s="260" t="n"/>
      <c r="O23" s="260" t="n"/>
      <c r="P23" s="260" t="n"/>
      <c r="Q23" s="260" t="n"/>
      <c r="R23" s="233" t="n"/>
      <c r="AD23" s="45" t="n"/>
      <c r="AE23" s="248" t="n"/>
    </row>
    <row r="24" ht="34.5" customHeight="1" s="235" thickBot="1">
      <c r="B24" s="57" t="inlineStr">
        <is>
          <t>ORDEM</t>
        </is>
      </c>
      <c r="C24" s="259" t="inlineStr">
        <is>
          <t>Mercantil</t>
        </is>
      </c>
      <c r="D24" s="259" t="inlineStr">
        <is>
          <t>Itens de Fatura</t>
        </is>
      </c>
      <c r="E24" s="260" t="n"/>
      <c r="F24" s="261" t="n"/>
      <c r="G24" s="259" t="inlineStr">
        <is>
          <t>Unid.</t>
        </is>
      </c>
      <c r="H24" s="259" t="inlineStr">
        <is>
          <t>Quant.</t>
        </is>
      </c>
      <c r="I24" s="58" t="inlineStr">
        <is>
          <t>Preço unit (r$) com tributos</t>
        </is>
      </c>
      <c r="J24" s="259" t="inlineStr">
        <is>
          <t>Valor(R$)</t>
        </is>
      </c>
      <c r="K24" s="261" t="n"/>
      <c r="L24" s="259" t="inlineStr">
        <is>
          <t>PIS/COFINS</t>
        </is>
      </c>
      <c r="M24" s="259" t="inlineStr">
        <is>
          <t>Base Calc ICMS (R$)</t>
        </is>
      </c>
      <c r="N24" s="260" t="n"/>
      <c r="O24" s="261" t="n"/>
      <c r="P24" s="259" t="inlineStr">
        <is>
          <t>Alícota ICMS</t>
        </is>
      </c>
      <c r="Q24" s="259" t="inlineStr">
        <is>
          <t>ICMS</t>
        </is>
      </c>
      <c r="R24" s="69" t="inlineStr">
        <is>
          <t>Tarifa unit (R$)</t>
        </is>
      </c>
    </row>
    <row r="25" ht="21.75" customHeight="1" s="235">
      <c r="B25" s="53" t="n">
        <v>1</v>
      </c>
      <c r="C25" s="77" t="inlineStr">
        <is>
          <t>A</t>
        </is>
      </c>
      <c r="D25" s="274" t="inlineStr">
        <is>
          <t>Energia ativa fornecia TE</t>
        </is>
      </c>
      <c r="E25" s="242" t="n"/>
      <c r="F25" s="242" t="n"/>
      <c r="G25" s="78" t="inlineStr">
        <is>
          <t>kWh</t>
        </is>
      </c>
      <c r="H25" s="79">
        <f>VLOOKUP(1,Tabela1[],2,FALSE)</f>
        <v/>
      </c>
      <c r="I25" s="315">
        <f>VLOOKUP(7,Tabela1[],2,FALSE)</f>
        <v/>
      </c>
      <c r="J25" s="315">
        <f>VLOOKUP(13,Tabela1[],2,FALSE)</f>
        <v/>
      </c>
      <c r="K25" s="242" t="n"/>
      <c r="L25" s="315">
        <f>VLOOKUP(20,Tabela1[],2,FALSE)</f>
        <v/>
      </c>
      <c r="M25" s="315">
        <f>VLOOKUP(27,Tabela1[],2,FALSE)</f>
        <v/>
      </c>
      <c r="N25" s="242" t="n"/>
      <c r="O25" s="242" t="n"/>
      <c r="P25" s="80">
        <f>VLOOKUP(34,Tabela1[],2,FALSE)</f>
        <v/>
      </c>
      <c r="Q25" s="315">
        <f>VLOOKUP(41,Tabela1[],2,FALSE)</f>
        <v/>
      </c>
      <c r="R25" s="316">
        <f>VLOOKUP(48,Tabela1[],2,FALSE)</f>
        <v/>
      </c>
    </row>
    <row r="26" ht="21.75" customHeight="1" s="235">
      <c r="B26" s="284" t="n">
        <v>2</v>
      </c>
      <c r="C26" s="45" t="inlineStr">
        <is>
          <t>A</t>
        </is>
      </c>
      <c r="D26" s="269" t="inlineStr">
        <is>
          <t>Energia ativa fornecia TUSD</t>
        </is>
      </c>
      <c r="G26" s="59" t="inlineStr">
        <is>
          <t>kWh</t>
        </is>
      </c>
      <c r="H26" s="72">
        <f>VLOOKUP(2,Tabela1[],2,FALSE)</f>
        <v/>
      </c>
      <c r="I26" s="317">
        <f>VLOOKUP(8,Tabela1[],2,FALSE)</f>
        <v/>
      </c>
      <c r="J26" s="317">
        <f>VLOOKUP(14,Tabela1[],2,FALSE)</f>
        <v/>
      </c>
      <c r="L26" s="317">
        <f>VLOOKUP(21,Tabela1[],2,FALSE)</f>
        <v/>
      </c>
      <c r="M26" s="317">
        <f>VLOOKUP(28,Tabela1[],2,FALSE)</f>
        <v/>
      </c>
      <c r="P26" s="81">
        <f>VLOOKUP(35,Tabela1[],2,FALSE)</f>
        <v/>
      </c>
      <c r="Q26" s="317">
        <f>VLOOKUP(42,Tabela1[],2,FALSE)</f>
        <v/>
      </c>
      <c r="R26" s="318">
        <f>VLOOKUP(49,Tabela1[],2,FALSE)</f>
        <v/>
      </c>
    </row>
    <row r="27" ht="21.75" customHeight="1" s="235">
      <c r="B27" s="284" t="n">
        <v>3</v>
      </c>
      <c r="C27" s="45" t="inlineStr">
        <is>
          <t>A</t>
        </is>
      </c>
      <c r="D27" s="269" t="inlineStr">
        <is>
          <t>CIP ILUM MUNICIPAL</t>
        </is>
      </c>
      <c r="G27" s="61" t="n"/>
      <c r="H27" s="73" t="n"/>
      <c r="I27" s="319" t="n"/>
      <c r="J27" s="317">
        <f>VLOOKUP(19,Tabela1[],2,FALSE)</f>
        <v/>
      </c>
      <c r="L27" s="73" t="n"/>
      <c r="M27" s="300" t="n"/>
      <c r="P27" s="82" t="n"/>
      <c r="Q27" s="73" t="n"/>
      <c r="R27" s="74" t="n"/>
    </row>
    <row r="28" ht="21.75" customHeight="1" s="235">
      <c r="B28" s="284" t="n">
        <v>4</v>
      </c>
      <c r="C28" s="45" t="inlineStr">
        <is>
          <t>A</t>
        </is>
      </c>
      <c r="D28" s="269" t="inlineStr">
        <is>
          <t>Outros</t>
        </is>
      </c>
      <c r="E28" s="269" t="n"/>
      <c r="F28" s="269" t="n"/>
      <c r="G28" s="61" t="n"/>
      <c r="H28" s="73" t="n"/>
      <c r="I28" s="319" t="n"/>
      <c r="J28" s="317">
        <f>dados!K18</f>
        <v/>
      </c>
      <c r="L28" s="73" t="n"/>
      <c r="M28" s="300" t="n"/>
      <c r="N28" s="300" t="n"/>
      <c r="O28" s="300" t="n"/>
      <c r="P28" s="82" t="n"/>
      <c r="Q28" s="73" t="n"/>
      <c r="R28" s="74" t="n"/>
    </row>
    <row r="29" ht="21.75" customHeight="1" s="235" thickBot="1">
      <c r="B29" s="237" t="n"/>
      <c r="I29" s="46" t="n"/>
      <c r="J29" s="320" t="n"/>
      <c r="K29" s="320" t="n"/>
      <c r="L29" s="46" t="n"/>
      <c r="M29" s="46" t="n"/>
      <c r="N29" s="46" t="n"/>
      <c r="O29" s="46" t="n"/>
      <c r="P29" s="46" t="n"/>
      <c r="Q29" s="46" t="n"/>
      <c r="R29" s="47" t="n"/>
      <c r="AI29" s="8" t="n"/>
    </row>
    <row r="30" ht="21.75" customHeight="1" s="235" thickBot="1">
      <c r="B30" s="237" t="n"/>
      <c r="F30" s="70" t="inlineStr">
        <is>
          <t>TOTAL</t>
        </is>
      </c>
      <c r="G30" s="71" t="inlineStr">
        <is>
          <t>kWh</t>
        </is>
      </c>
      <c r="H30" s="75">
        <f>H26</f>
        <v/>
      </c>
      <c r="I30" s="46" t="n"/>
      <c r="J30" s="321">
        <f>SUM(J25:K27)</f>
        <v/>
      </c>
      <c r="K30" s="233" t="n"/>
      <c r="L30" s="46" t="n"/>
      <c r="M30" s="46" t="n"/>
      <c r="N30" s="46" t="n"/>
      <c r="O30" s="46" t="n"/>
      <c r="P30" s="46" t="n"/>
      <c r="Q30" s="46" t="n"/>
      <c r="R30" s="256" t="n"/>
      <c r="AI30" s="8" t="n"/>
    </row>
    <row r="31" ht="12" customHeight="1" s="235" thickBot="1">
      <c r="B31" s="289" t="n"/>
      <c r="C31" s="257" t="n"/>
      <c r="D31" s="257" t="n"/>
      <c r="E31" s="257" t="n"/>
      <c r="F31" s="257" t="n"/>
      <c r="G31" s="257" t="n"/>
      <c r="H31" s="257" t="n"/>
      <c r="I31" s="257" t="n"/>
      <c r="J31" s="257" t="n"/>
      <c r="K31" s="257" t="n"/>
      <c r="L31" s="257" t="n"/>
      <c r="M31" s="257" t="n"/>
      <c r="N31" s="257" t="n"/>
      <c r="O31" s="257" t="n"/>
      <c r="P31" s="257" t="n"/>
      <c r="Q31" s="257" t="n"/>
      <c r="R31" s="258" t="n"/>
    </row>
    <row r="32" ht="13.5" customHeight="1" s="235" thickBot="1"/>
    <row r="33" ht="21.75" customHeight="1" s="235" thickBot="1">
      <c r="B33" s="295" t="inlineStr">
        <is>
          <t xml:space="preserve">DESCRIÇÃO DO FATURAMENTO SUN FARM </t>
        </is>
      </c>
      <c r="C33" s="242" t="n"/>
      <c r="D33" s="242" t="n"/>
      <c r="E33" s="242" t="n"/>
      <c r="F33" s="242" t="n"/>
      <c r="G33" s="242" t="n"/>
      <c r="H33" s="242" t="n"/>
      <c r="I33" s="242" t="n"/>
      <c r="J33" s="242" t="n"/>
      <c r="K33" s="242" t="n"/>
      <c r="L33" s="242" t="n"/>
      <c r="M33" s="242" t="n"/>
      <c r="N33" s="242" t="n"/>
      <c r="O33" s="242" t="n"/>
      <c r="P33" s="242" t="n"/>
      <c r="Q33" s="242" t="n"/>
      <c r="R33" s="296" t="n"/>
    </row>
    <row r="34" ht="31.5" customHeight="1" s="235" thickBot="1">
      <c r="B34" s="292" t="inlineStr">
        <is>
          <t>Unidade</t>
        </is>
      </c>
      <c r="C34" s="261" t="n"/>
      <c r="D34" s="259" t="inlineStr">
        <is>
          <t>Itens de Fatura</t>
        </is>
      </c>
      <c r="E34" s="260" t="n"/>
      <c r="F34" s="261" t="n"/>
      <c r="G34" s="259" t="inlineStr">
        <is>
          <t>Unid.</t>
        </is>
      </c>
      <c r="H34" s="259" t="inlineStr">
        <is>
          <t>Quant.</t>
        </is>
      </c>
      <c r="I34" s="58" t="inlineStr">
        <is>
          <t>Preço unit (r$) com tributos</t>
        </is>
      </c>
      <c r="J34" s="259" t="inlineStr">
        <is>
          <t>Valor(R$)</t>
        </is>
      </c>
      <c r="K34" s="261" t="n"/>
      <c r="L34" s="259" t="inlineStr">
        <is>
          <t>PIS/COFINS</t>
        </is>
      </c>
      <c r="M34" s="259" t="inlineStr">
        <is>
          <t>Base Calc ICMS (R$)</t>
        </is>
      </c>
      <c r="N34" s="260" t="n"/>
      <c r="O34" s="261" t="n"/>
      <c r="P34" s="259" t="inlineStr">
        <is>
          <t>Alícota ICMS</t>
        </is>
      </c>
      <c r="Q34" s="259" t="inlineStr">
        <is>
          <t>ICMS</t>
        </is>
      </c>
      <c r="R34" s="69" t="inlineStr">
        <is>
          <t>Tarifa unit (R$)</t>
        </is>
      </c>
    </row>
    <row r="35" ht="16.5" customHeight="1" s="235">
      <c r="B35" s="262" t="inlineStr">
        <is>
          <t>A</t>
        </is>
      </c>
      <c r="D35" s="248" t="inlineStr">
        <is>
          <t>ENERGIA ATIVA FORNECIDA TE</t>
        </is>
      </c>
      <c r="G35" s="59" t="inlineStr">
        <is>
          <t>kWh</t>
        </is>
      </c>
      <c r="H35" s="102">
        <f>VLOOKUP(3,Tabela1[],2,FALSE)+VLOOKUP(5,Tabela1[],2,FALSE)+VLOOKUP(115,Tabela1[],2,FALSE)</f>
        <v/>
      </c>
      <c r="I35" s="322">
        <f>VLOOKUP(7,Tabela1[],2,FALSE)</f>
        <v/>
      </c>
      <c r="J35" s="323">
        <f>H35*I35</f>
        <v/>
      </c>
      <c r="L35" s="324">
        <f>J35*dados!$N$5</f>
        <v/>
      </c>
      <c r="M35" s="325">
        <f>J35</f>
        <v/>
      </c>
      <c r="P35" s="81">
        <f>VLOOKUP(34,Tabela1[],2,FALSE)</f>
        <v/>
      </c>
      <c r="Q35" s="324">
        <f>M35*P35</f>
        <v/>
      </c>
      <c r="R35" s="326">
        <f>VLOOKUP(48,Tabela1[],2,FALSE)</f>
        <v/>
      </c>
      <c r="T35" s="327" t="n"/>
    </row>
    <row r="36" ht="16.5" customHeight="1" s="235">
      <c r="B36" s="262" t="inlineStr">
        <is>
          <t>A</t>
        </is>
      </c>
      <c r="D36" s="248" t="inlineStr">
        <is>
          <t>ENERGIA ATIVA FORNECIDA TUSD</t>
        </is>
      </c>
      <c r="G36" s="59" t="inlineStr">
        <is>
          <t>kWh</t>
        </is>
      </c>
      <c r="H36" s="102">
        <f>VLOOKUP(4,Tabela1[],2,FALSE)+VLOOKUP(115,Tabela1[],2,FALSE)+VLOOKUP(6,Tabela1[],2,FALSE)</f>
        <v/>
      </c>
      <c r="I36" s="322">
        <f>VLOOKUP(8,Tabela1[],2,FALSE)</f>
        <v/>
      </c>
      <c r="J36" s="323">
        <f>H36*I36</f>
        <v/>
      </c>
      <c r="L36" s="324">
        <f>J36*dados!$N$5</f>
        <v/>
      </c>
      <c r="M36" s="325">
        <f>J36</f>
        <v/>
      </c>
      <c r="P36" s="81">
        <f>VLOOKUP(34,Tabela1[],2,FALSE)</f>
        <v/>
      </c>
      <c r="Q36" s="324">
        <f>M36*P36</f>
        <v/>
      </c>
      <c r="R36" s="326">
        <f>VLOOKUP(49,Tabela1[],2,FALSE)</f>
        <v/>
      </c>
    </row>
    <row r="37" ht="16.5" customHeight="1" s="235">
      <c r="B37" s="262" t="inlineStr">
        <is>
          <t>A</t>
        </is>
      </c>
      <c r="D37" s="248" t="inlineStr">
        <is>
          <t>ENERGIA ATIVA INJ TE</t>
        </is>
      </c>
      <c r="G37" s="59" t="inlineStr">
        <is>
          <t>kWh</t>
        </is>
      </c>
      <c r="H37" s="102">
        <f>VLOOKUP(3,Tabela1[],2,FALSE)+VLOOKUP(5,Tabela1[],2,FALSE)+VLOOKUP(115,Tabela1[],2,FALSE)</f>
        <v/>
      </c>
      <c r="I37" s="322">
        <f>VLOOKUP(9,Tabela1[],2,FALSE)</f>
        <v/>
      </c>
      <c r="J37" s="323" t="n">
        <v>0</v>
      </c>
      <c r="L37" s="324">
        <f>J37*dados!$N$5</f>
        <v/>
      </c>
      <c r="M37" s="325">
        <f>J37</f>
        <v/>
      </c>
      <c r="P37" s="81">
        <f>VLOOKUP(34,Tabela1[],2,FALSE)</f>
        <v/>
      </c>
      <c r="Q37" s="324">
        <f>M37*P37</f>
        <v/>
      </c>
      <c r="R37" s="326">
        <f>VLOOKUP(48,Tabela1[],2,FALSE)</f>
        <v/>
      </c>
    </row>
    <row r="38" ht="16.5" customHeight="1" s="235">
      <c r="B38" s="262" t="inlineStr">
        <is>
          <t>A</t>
        </is>
      </c>
      <c r="D38" s="303" t="inlineStr">
        <is>
          <t>ENERGIA ATIVA INJETADA TUSD</t>
        </is>
      </c>
      <c r="E38" s="281" t="n"/>
      <c r="F38" s="281" t="n"/>
      <c r="G38" s="93" t="inlineStr">
        <is>
          <t>kWh</t>
        </is>
      </c>
      <c r="H38" s="103">
        <f>VLOOKUP(4,Tabela1[],2,FALSE)+VLOOKUP(115,Tabela1[],2,FALSE)+VLOOKUP(6,Tabela1[],2,FALSE)</f>
        <v/>
      </c>
      <c r="I38" s="328">
        <f>VLOOKUP(10,Tabela1[],2,FALSE)</f>
        <v/>
      </c>
      <c r="J38" s="329">
        <f>H38*I38</f>
        <v/>
      </c>
      <c r="K38" s="281" t="n"/>
      <c r="L38" s="330">
        <f>J38*dados!$N$5</f>
        <v/>
      </c>
      <c r="M38" s="331" t="n">
        <v>0</v>
      </c>
      <c r="N38" s="281" t="n"/>
      <c r="O38" s="281" t="n"/>
      <c r="P38" s="94" t="n">
        <v>0</v>
      </c>
      <c r="Q38" s="332" t="n">
        <v>0</v>
      </c>
      <c r="R38" s="326">
        <f>VLOOKUP(49,Tabela1[],2,FALSE)</f>
        <v/>
      </c>
      <c r="AI38" s="327" t="n"/>
      <c r="AL38" s="327" t="n"/>
    </row>
    <row r="39" ht="16.5" customHeight="1" s="235">
      <c r="B39" s="83" t="n"/>
      <c r="C39" s="52" t="n"/>
      <c r="D39" s="270" t="n"/>
      <c r="E39" s="270" t="n"/>
      <c r="F39" s="270" t="n"/>
      <c r="G39" s="61" t="n"/>
      <c r="H39" s="61" t="n"/>
      <c r="I39" s="61" t="n"/>
      <c r="J39" s="61" t="n"/>
      <c r="K39" s="61" t="n"/>
      <c r="L39" s="61" t="n"/>
      <c r="M39" s="61" t="n"/>
      <c r="N39" s="61" t="n"/>
      <c r="O39" s="61" t="n"/>
      <c r="P39" s="61" t="n"/>
      <c r="Q39" s="61" t="n"/>
      <c r="R39" s="84" t="n"/>
      <c r="AK39" s="327" t="n"/>
    </row>
    <row r="40" ht="16.5" customHeight="1" s="235">
      <c r="B40" s="262" t="inlineStr">
        <is>
          <t>A</t>
        </is>
      </c>
      <c r="D40" s="248" t="inlineStr">
        <is>
          <t>ENERGIA ATIVA INJ ETADA</t>
        </is>
      </c>
      <c r="G40" s="59" t="inlineStr">
        <is>
          <t>kWh</t>
        </is>
      </c>
      <c r="H40" s="107">
        <f>H35</f>
        <v/>
      </c>
      <c r="I40" s="333">
        <f>R42</f>
        <v/>
      </c>
      <c r="J40" s="323">
        <f>H40*I40</f>
        <v/>
      </c>
      <c r="L40" s="269" t="inlineStr">
        <is>
          <t>kWh x R$</t>
        </is>
      </c>
      <c r="M40" s="269" t="n"/>
      <c r="N40" s="334" t="n"/>
      <c r="O40" s="334" t="n"/>
      <c r="P40" s="61" t="n"/>
      <c r="Q40" s="85" t="inlineStr">
        <is>
          <t>DESCONTO SUN FARM</t>
        </is>
      </c>
      <c r="R40" s="86" t="n">
        <v>0.15</v>
      </c>
    </row>
    <row r="41" ht="16.5" customHeight="1" s="235">
      <c r="B41" s="262" t="inlineStr">
        <is>
          <t>A</t>
        </is>
      </c>
      <c r="D41" s="270" t="inlineStr">
        <is>
          <t>ICMS</t>
        </is>
      </c>
      <c r="G41" s="61" t="n"/>
      <c r="H41" s="61" t="n"/>
      <c r="I41" s="61" t="n"/>
      <c r="J41" s="323">
        <f>Q35+Q36</f>
        <v/>
      </c>
      <c r="L41" s="64" t="n"/>
      <c r="M41" s="64" t="n"/>
      <c r="N41" s="61" t="n"/>
      <c r="O41" s="61" t="n"/>
      <c r="P41" s="61" t="n"/>
      <c r="Q41" s="63" t="inlineStr">
        <is>
          <t>TARIFA ENEL</t>
        </is>
      </c>
      <c r="R41" s="335">
        <f>R35+R36</f>
        <v/>
      </c>
    </row>
    <row r="42" ht="16.5" customHeight="1" s="235">
      <c r="B42" s="262" t="inlineStr">
        <is>
          <t>A</t>
        </is>
      </c>
      <c r="D42" s="291" t="inlineStr">
        <is>
          <t>PIS/COFINS</t>
        </is>
      </c>
      <c r="G42" s="61" t="n"/>
      <c r="H42" s="336" t="n"/>
      <c r="I42" s="61" t="n"/>
      <c r="J42" s="323">
        <f>(L35+L36)</f>
        <v/>
      </c>
      <c r="L42" s="64" t="n"/>
      <c r="M42" s="65" t="n"/>
      <c r="N42" s="61" t="n"/>
      <c r="O42" s="61" t="n"/>
      <c r="P42" s="61" t="n"/>
      <c r="Q42" s="63" t="inlineStr">
        <is>
          <t>TARIFA SUN FARM</t>
        </is>
      </c>
      <c r="R42" s="337">
        <f>R41*(1-R40)</f>
        <v/>
      </c>
    </row>
    <row r="43" ht="16.5" customHeight="1" s="235">
      <c r="B43" s="262" t="inlineStr">
        <is>
          <t>A</t>
        </is>
      </c>
      <c r="D43" s="248" t="inlineStr">
        <is>
          <t>CIP ILUM MUNICIPAL</t>
        </is>
      </c>
      <c r="G43" s="61" t="n"/>
      <c r="H43" s="110" t="n"/>
      <c r="I43" s="61" t="n"/>
      <c r="J43" s="323">
        <f>J27</f>
        <v/>
      </c>
      <c r="L43" s="64" t="n"/>
      <c r="M43" s="65" t="n"/>
      <c r="N43" s="61" t="n"/>
      <c r="O43" s="61" t="n"/>
      <c r="P43" s="61" t="n"/>
      <c r="Q43" s="61" t="n"/>
      <c r="R43" s="84" t="n"/>
    </row>
    <row r="44" ht="16.5" customHeight="1" s="235">
      <c r="B44" s="262" t="inlineStr">
        <is>
          <t>A</t>
        </is>
      </c>
      <c r="D44" s="270" t="inlineStr">
        <is>
          <t>CUSTO DISP  + DIF NÃO ACUMULADA</t>
        </is>
      </c>
      <c r="G44" s="61" t="n"/>
      <c r="H44" s="61" t="n"/>
      <c r="I44" s="61" t="n"/>
      <c r="J44" s="338">
        <f>(VLOOKUP(2,Tabela1[],2,FALSE)-VLOOKUP(5,Tabela1[],2,FALSE)-VLOOKUP(3,Tabela1[],2,FALSE)-VLOOKUP(115,Tabela1[],2,FALSE))*($I$35+$I$36)</f>
        <v/>
      </c>
      <c r="L44" s="64" t="n"/>
      <c r="M44" s="65" t="n"/>
      <c r="N44" s="61" t="n"/>
      <c r="O44" s="334" t="n"/>
      <c r="P44" s="60" t="n"/>
      <c r="Q44" s="334" t="n"/>
      <c r="R44" s="339" t="n"/>
    </row>
    <row r="45" ht="16.5" customHeight="1" s="235">
      <c r="B45" s="262" t="inlineStr">
        <is>
          <t>A</t>
        </is>
      </c>
      <c r="D45" s="270" t="inlineStr">
        <is>
          <t>Outros</t>
        </is>
      </c>
      <c r="G45" s="112" t="n"/>
      <c r="H45" s="112" t="n"/>
      <c r="I45" s="112" t="n"/>
      <c r="J45" s="338">
        <f>dados!K18</f>
        <v/>
      </c>
      <c r="L45" s="112" t="n"/>
      <c r="M45" s="65" t="n"/>
      <c r="N45" s="61" t="n"/>
      <c r="O45" s="334" t="n"/>
      <c r="P45" s="60" t="n"/>
      <c r="Q45" s="334" t="n"/>
      <c r="R45" s="339" t="n"/>
    </row>
    <row r="46" ht="16.5" customHeight="1" s="235">
      <c r="B46" s="262" t="n"/>
      <c r="D46" s="270" t="n"/>
      <c r="G46" s="112" t="n"/>
      <c r="H46" s="112" t="n"/>
      <c r="I46" s="112" t="n"/>
      <c r="J46" s="112" t="n"/>
      <c r="K46" s="112" t="n"/>
      <c r="L46" s="112" t="n"/>
      <c r="M46" s="340" t="n"/>
      <c r="N46" s="334" t="n"/>
      <c r="O46" s="334" t="n"/>
      <c r="P46" s="60" t="n"/>
      <c r="Q46" s="334" t="n"/>
      <c r="R46" s="339" t="n"/>
    </row>
    <row r="47" ht="15.6" customHeight="1" s="235">
      <c r="B47" s="83" t="n"/>
      <c r="C47" s="52" t="n"/>
      <c r="G47" s="112" t="n"/>
      <c r="H47" s="112" t="n"/>
      <c r="I47" s="112" t="n"/>
      <c r="J47" s="112" t="n"/>
      <c r="K47" s="112" t="n"/>
      <c r="L47" s="112" t="n"/>
      <c r="M47" s="340" t="n"/>
      <c r="N47" s="334" t="n"/>
      <c r="O47" s="334" t="n"/>
      <c r="P47" s="60" t="n"/>
      <c r="Q47" s="334" t="n"/>
      <c r="R47" s="339" t="n"/>
      <c r="AD47" s="327" t="n"/>
    </row>
    <row r="48" ht="16.15" customHeight="1" s="235" thickBot="1">
      <c r="B48" s="83" t="n"/>
      <c r="C48" s="52" t="n"/>
      <c r="G48" s="59" t="n"/>
      <c r="H48" s="62" t="n"/>
      <c r="I48" s="334" t="n"/>
      <c r="J48" s="320" t="n"/>
      <c r="K48" s="320" t="n"/>
      <c r="L48" s="340" t="n"/>
      <c r="M48" s="340" t="n"/>
      <c r="N48" s="334" t="n"/>
      <c r="O48" s="334" t="n"/>
      <c r="P48" s="60" t="n"/>
      <c r="Q48" s="334" t="n"/>
      <c r="R48" s="339" t="n"/>
      <c r="AD48" s="327" t="n"/>
    </row>
    <row r="49" ht="24.75" customHeight="1" s="235" thickBot="1">
      <c r="B49" s="83" t="n"/>
      <c r="C49" s="52" t="n"/>
      <c r="D49" s="42" t="n"/>
      <c r="I49" s="334" t="n"/>
      <c r="J49" s="341">
        <f>SUM(J40:K45)</f>
        <v/>
      </c>
      <c r="K49" s="233" t="n"/>
      <c r="L49" s="340" t="n"/>
      <c r="M49" s="340" t="n"/>
      <c r="N49" s="334" t="n"/>
      <c r="O49" s="334" t="n"/>
      <c r="P49" s="60" t="n"/>
      <c r="Q49" s="334" t="n"/>
      <c r="R49" s="339" t="n"/>
    </row>
    <row r="50" ht="12.75" customHeight="1" s="235" thickBot="1">
      <c r="B50" s="87" t="n"/>
      <c r="C50" s="88" t="n"/>
      <c r="D50" s="89" t="n"/>
      <c r="E50" s="90" t="n"/>
      <c r="F50" s="91" t="n"/>
      <c r="G50" s="342" t="n"/>
      <c r="H50" s="342" t="n"/>
      <c r="I50" s="342" t="n"/>
      <c r="J50" s="342" t="n"/>
      <c r="K50" s="342" t="n"/>
      <c r="L50" s="342" t="n"/>
      <c r="M50" s="109" t="n"/>
      <c r="N50" s="342" t="n"/>
      <c r="O50" s="342" t="n"/>
      <c r="P50" s="92" t="n"/>
      <c r="Q50" s="342" t="n"/>
      <c r="R50" s="343" t="n"/>
    </row>
    <row r="51" ht="9.75" customHeight="1" s="235" thickBot="1">
      <c r="B51" s="45" t="n"/>
      <c r="C51" s="42" t="n"/>
      <c r="D51" s="18" t="n"/>
      <c r="E51" s="44" t="n"/>
      <c r="F51" s="344" t="n"/>
      <c r="G51" s="344" t="n"/>
      <c r="H51" s="344" t="n"/>
      <c r="I51" s="344" t="n"/>
      <c r="J51" s="344" t="n"/>
      <c r="K51" s="344" t="n"/>
      <c r="L51" s="43" t="n"/>
      <c r="M51" s="43" t="n"/>
      <c r="N51" s="43" t="n"/>
      <c r="O51" s="43" t="n"/>
      <c r="P51" s="344" t="n"/>
      <c r="Q51" s="344" t="n"/>
      <c r="S51" s="51" t="n"/>
    </row>
    <row r="52" ht="25.5" customHeight="1" s="235" thickBot="1">
      <c r="B52" s="241" t="inlineStr">
        <is>
          <t>DADOS DE MEDIÇÃO</t>
        </is>
      </c>
      <c r="C52" s="242" t="n"/>
      <c r="D52" s="242" t="n"/>
      <c r="E52" s="242" t="n"/>
      <c r="F52" s="242" t="n"/>
      <c r="G52" s="242" t="n"/>
      <c r="H52" s="242" t="n"/>
      <c r="I52" s="242" t="n"/>
      <c r="J52" s="242" t="n"/>
      <c r="K52" s="242" t="n"/>
      <c r="L52" s="242" t="n"/>
      <c r="M52" s="243" t="n"/>
      <c r="O52" s="241" t="inlineStr">
        <is>
          <t>VALORES A SEREM PAGOS</t>
        </is>
      </c>
      <c r="P52" s="242" t="n"/>
      <c r="Q52" s="242" t="n"/>
      <c r="R52" s="243" t="n"/>
    </row>
    <row r="53" ht="30" customHeight="1" s="235" thickBot="1">
      <c r="B53" s="277" t="inlineStr">
        <is>
          <t>Unidade</t>
        </is>
      </c>
      <c r="C53" s="250" t="n"/>
      <c r="D53" s="249" t="inlineStr">
        <is>
          <t>Medidor</t>
        </is>
      </c>
      <c r="E53" s="249" t="inlineStr">
        <is>
          <t>Grandezas</t>
        </is>
      </c>
      <c r="F53" s="250" t="n"/>
      <c r="G53" s="249" t="inlineStr">
        <is>
          <t>Postos Tarifários</t>
        </is>
      </c>
      <c r="H53" s="249" t="inlineStr">
        <is>
          <t>Leitura Anterior</t>
        </is>
      </c>
      <c r="I53" s="249" t="inlineStr">
        <is>
          <t>Leitura Atual</t>
        </is>
      </c>
      <c r="J53" s="249" t="inlineStr">
        <is>
          <t>Const. Medidor</t>
        </is>
      </c>
      <c r="K53" s="250" t="n"/>
      <c r="L53" s="246" t="inlineStr">
        <is>
          <t>Consumo kWh/Kw</t>
        </is>
      </c>
      <c r="M53" s="247" t="n"/>
      <c r="O53" s="108" t="n"/>
      <c r="P53" s="242" t="n"/>
      <c r="Q53" s="242" t="n"/>
      <c r="R53" s="243" t="n"/>
    </row>
    <row r="54">
      <c r="B54" s="284" t="inlineStr">
        <is>
          <t xml:space="preserve">A </t>
        </is>
      </c>
      <c r="D54" t="inlineStr">
        <is>
          <t>4837700-NAN-437</t>
        </is>
      </c>
      <c r="E54" s="293" t="inlineStr">
        <is>
          <t>ENERGIA ATIVA - KWH</t>
        </is>
      </c>
      <c r="G54" s="66" t="inlineStr">
        <is>
          <t>HFP</t>
        </is>
      </c>
      <c r="H54" s="95">
        <f>VLOOKUP(1,Tabela2[],2,FALSE)</f>
        <v/>
      </c>
      <c r="I54" s="95">
        <f>VLOOKUP(4,Tabela2[],2,FALSE)</f>
        <v/>
      </c>
      <c r="J54" s="305">
        <f>VLOOKUP(7,Tabela2[],2,FALSE)</f>
        <v/>
      </c>
      <c r="K54" s="242" t="n"/>
      <c r="L54" s="345">
        <f>VLOOKUP(10,Tabela2[],2,FALSE)</f>
        <v/>
      </c>
      <c r="M54" s="55" t="n"/>
      <c r="O54" s="251" t="inlineStr">
        <is>
          <t>Mercantil</t>
        </is>
      </c>
      <c r="Q54" s="346">
        <f>dados!P23</f>
        <v/>
      </c>
      <c r="R54" s="256" t="n"/>
    </row>
    <row r="55" ht="15.75" customHeight="1" s="235">
      <c r="B55" s="237" t="n"/>
      <c r="M55" s="55" t="n"/>
      <c r="O55" s="264" t="inlineStr">
        <is>
          <t>UND GERADORA 1 - SF PV 100</t>
        </is>
      </c>
      <c r="Q55" s="347">
        <f>dados!P24</f>
        <v/>
      </c>
      <c r="R55" s="256" t="n"/>
    </row>
    <row r="56" ht="18.75" customHeight="1" s="235" thickBot="1">
      <c r="B56" s="237" t="n"/>
      <c r="M56" s="55" t="n"/>
      <c r="O56" s="264" t="inlineStr">
        <is>
          <t>UND GERADORA 2 - SF BEBERIBE</t>
        </is>
      </c>
      <c r="Q56" s="348">
        <f>dados!P25</f>
        <v/>
      </c>
      <c r="R56" s="256" t="n"/>
    </row>
    <row r="57" ht="24.6" customHeight="1" s="235" thickBot="1">
      <c r="B57" s="41" t="n"/>
      <c r="C57" s="50" t="n"/>
      <c r="F57" s="50" t="n"/>
      <c r="G57" s="50" t="n"/>
      <c r="H57" s="50" t="n"/>
      <c r="I57" s="50" t="n"/>
      <c r="J57" s="50" t="n"/>
      <c r="K57" s="50" t="n"/>
      <c r="L57" s="50" t="n"/>
      <c r="M57" s="56" t="n"/>
      <c r="O57" s="237" t="n"/>
      <c r="Q57" s="349">
        <f>Q54+Q55+Q56</f>
        <v/>
      </c>
      <c r="R57" s="106" t="inlineStr">
        <is>
          <t>VALOR A SER PAGO A ENEL</t>
        </is>
      </c>
    </row>
    <row r="58" ht="15" customHeight="1" s="235" thickBot="1">
      <c r="B58" s="237" t="n"/>
      <c r="K58" s="66" t="inlineStr">
        <is>
          <t>TOTAL</t>
        </is>
      </c>
      <c r="L58" s="76">
        <f>L54</f>
        <v/>
      </c>
      <c r="M58" s="67" t="inlineStr">
        <is>
          <t>kWh</t>
        </is>
      </c>
      <c r="O58" s="237" t="n"/>
      <c r="Q58" s="111" t="n"/>
      <c r="R58" s="54" t="n"/>
    </row>
    <row r="59" ht="15.75" customHeight="1" s="235" thickBot="1">
      <c r="B59" s="289" t="n"/>
      <c r="C59" s="257" t="n"/>
      <c r="D59" s="257" t="n"/>
      <c r="E59" s="257" t="n"/>
      <c r="F59" s="257" t="n"/>
      <c r="G59" s="257" t="n"/>
      <c r="H59" s="257" t="n"/>
      <c r="I59" s="257" t="n"/>
      <c r="J59" s="257" t="n"/>
      <c r="K59" s="257" t="n"/>
      <c r="L59" s="257" t="n"/>
      <c r="M59" s="258" t="n"/>
      <c r="O59" s="237" t="n"/>
      <c r="R59" s="256" t="n"/>
    </row>
    <row r="60" ht="33.75" customHeight="1" s="235" thickBot="1">
      <c r="O60" s="237" t="n"/>
      <c r="Q60" s="350">
        <f>Q62-Q57</f>
        <v/>
      </c>
      <c r="R60" s="106" t="inlineStr">
        <is>
          <t>VALOR A SER PAGO A SUN FARM</t>
        </is>
      </c>
    </row>
    <row r="61" ht="24" customHeight="1" s="235" thickBot="1">
      <c r="B61" s="298" t="inlineStr">
        <is>
          <t>RESPONSÁVEL PELA ILUMINAÇÃO PÚBLICA EM SUA RUA/REGIÃO</t>
        </is>
      </c>
      <c r="O61" s="237" t="n"/>
      <c r="Q61" s="111" t="n"/>
      <c r="R61" s="54" t="n"/>
    </row>
    <row r="62" ht="21" customHeight="1" s="235" thickBot="1">
      <c r="B62" s="302" t="inlineStr">
        <is>
          <t>PREFEITURA MUNICIPAL ARACOIABA</t>
        </is>
      </c>
      <c r="C62" s="242" t="n"/>
      <c r="D62" s="242" t="n"/>
      <c r="E62" s="242" t="n"/>
      <c r="F62" s="242" t="n"/>
      <c r="G62" s="242" t="n"/>
      <c r="H62" s="242" t="n"/>
      <c r="I62" s="242" t="n"/>
      <c r="J62" s="242" t="n"/>
      <c r="K62" s="242" t="n"/>
      <c r="L62" s="242" t="n"/>
      <c r="M62" s="243" t="n"/>
      <c r="O62" s="237" t="n"/>
      <c r="Q62" s="350">
        <f>J49</f>
        <v/>
      </c>
      <c r="R62" s="67" t="inlineStr">
        <is>
          <t>VALOR TOTAL</t>
        </is>
      </c>
    </row>
    <row r="63" ht="10.5" customHeight="1" s="235" thickBot="1">
      <c r="B63" s="289" t="n"/>
      <c r="C63" s="257" t="n"/>
      <c r="D63" s="257" t="n"/>
      <c r="E63" s="257" t="n"/>
      <c r="F63" s="257" t="n"/>
      <c r="G63" s="257" t="n"/>
      <c r="H63" s="257" t="n"/>
      <c r="I63" s="257" t="n"/>
      <c r="J63" s="257" t="n"/>
      <c r="K63" s="257" t="n"/>
      <c r="L63" s="257" t="n"/>
      <c r="M63" s="258" t="n"/>
      <c r="O63" s="289" t="n"/>
      <c r="P63" s="257" t="n"/>
      <c r="Q63" s="257" t="n"/>
      <c r="R63" s="258" t="n"/>
    </row>
    <row r="64" ht="15" customHeight="1" s="235" thickBot="1"/>
    <row r="65" ht="18.6" customHeight="1" s="235" thickBot="1">
      <c r="B65" s="282" t="inlineStr">
        <is>
          <t>NOTIFICAÇÃO/REAVISO DE CONTAS VENCIDAS</t>
        </is>
      </c>
      <c r="C65" s="242" t="n"/>
      <c r="D65" s="242" t="n"/>
      <c r="E65" s="242" t="n"/>
      <c r="F65" s="242" t="n"/>
      <c r="G65" s="242" t="n"/>
      <c r="H65" s="242" t="n"/>
      <c r="I65" s="242" t="n"/>
      <c r="J65" s="242" t="n"/>
      <c r="K65" s="242" t="n"/>
      <c r="L65" s="242" t="n"/>
      <c r="M65" s="242" t="n"/>
      <c r="N65" s="242" t="n"/>
      <c r="O65" s="242" t="n"/>
      <c r="P65" s="242" t="n"/>
      <c r="Q65" s="242" t="n"/>
      <c r="R65" s="243" t="n"/>
    </row>
    <row r="66" ht="15" customHeight="1" s="235">
      <c r="B66" s="309" t="inlineStr">
        <is>
          <t>Energia Injetada HFP no mês: 0 kWh. Saldo utilizado no mês: 13.198.00 kWh. Saldo atualizado: 8.537.00 kWh. Créditos a Expirar no próximo mês: 0 kWh.</t>
        </is>
      </c>
      <c r="C66" s="242" t="n"/>
      <c r="D66" s="242" t="n"/>
      <c r="E66" s="242" t="n"/>
      <c r="F66" s="242" t="n"/>
      <c r="G66" s="242" t="n"/>
      <c r="H66" s="242" t="n"/>
      <c r="I66" s="242" t="n"/>
      <c r="J66" s="242" t="n"/>
      <c r="K66" s="242" t="n"/>
      <c r="L66" s="242" t="n"/>
      <c r="M66" s="242" t="n"/>
      <c r="N66" s="242" t="n"/>
      <c r="O66" s="242" t="n"/>
      <c r="P66" s="242" t="n"/>
      <c r="Q66" s="242" t="n"/>
      <c r="R66" s="243" t="n"/>
    </row>
    <row r="67" ht="15" customHeight="1" s="235">
      <c r="B67" s="237" t="n"/>
      <c r="R67" s="256" t="n"/>
    </row>
    <row r="68" ht="15" customHeight="1" s="235">
      <c r="B68" s="237" t="n"/>
      <c r="R68" s="256" t="n"/>
    </row>
    <row r="69" ht="90.75" customHeight="1" s="235" thickBot="1">
      <c r="B69" s="289" t="n"/>
      <c r="C69" s="257" t="n"/>
      <c r="D69" s="257" t="n"/>
      <c r="E69" s="257" t="n"/>
      <c r="F69" s="257" t="n"/>
      <c r="G69" s="257" t="n"/>
      <c r="H69" s="257" t="n"/>
      <c r="I69" s="257" t="n"/>
      <c r="J69" s="257" t="n"/>
      <c r="K69" s="257" t="n"/>
      <c r="L69" s="257" t="n"/>
      <c r="M69" s="257" t="n"/>
      <c r="N69" s="257" t="n"/>
      <c r="O69" s="257" t="n"/>
      <c r="P69" s="257" t="n"/>
      <c r="Q69" s="257" t="n"/>
      <c r="R69" s="258" t="n"/>
    </row>
    <row r="70" ht="15" customHeight="1" s="235" thickBot="1"/>
    <row r="71" ht="92.25" customHeight="1" s="235">
      <c r="B71" s="288" t="inlineStr">
        <is>
          <t>Boleto</t>
        </is>
      </c>
      <c r="C71" s="242" t="n"/>
      <c r="D71" s="242" t="n"/>
      <c r="E71" s="242" t="n"/>
      <c r="F71" s="242" t="n"/>
      <c r="G71" s="242" t="n"/>
      <c r="H71" s="242" t="n"/>
      <c r="I71" s="242" t="n"/>
      <c r="J71" s="242" t="n"/>
      <c r="K71" s="242" t="n"/>
      <c r="L71" s="242" t="n"/>
      <c r="M71" s="242" t="n"/>
      <c r="N71" s="242" t="n"/>
      <c r="O71" s="242" t="n"/>
      <c r="P71" s="242" t="n"/>
      <c r="Q71" s="242" t="n"/>
      <c r="R71" s="243" t="n"/>
    </row>
    <row r="72" ht="15" customHeight="1" s="235">
      <c r="B72" s="237" t="n"/>
      <c r="R72" s="256" t="n"/>
    </row>
    <row r="73" ht="15" customHeight="1" s="235">
      <c r="B73" s="237" t="n"/>
      <c r="R73" s="256" t="n"/>
    </row>
    <row r="74" ht="15" customHeight="1" s="235">
      <c r="B74" s="237" t="n"/>
      <c r="R74" s="256" t="n"/>
    </row>
    <row r="75" ht="15" customHeight="1" s="235">
      <c r="B75" s="237" t="n"/>
      <c r="R75" s="256" t="n"/>
    </row>
    <row r="76" ht="15" customHeight="1" s="235">
      <c r="B76" s="237" t="n"/>
      <c r="R76" s="256" t="n"/>
    </row>
    <row r="77" ht="21.75" customHeight="1" s="235">
      <c r="B77" s="237" t="n"/>
      <c r="R77" s="256" t="n"/>
    </row>
    <row r="78" ht="25.5" customHeight="1" s="235">
      <c r="B78" s="237" t="n"/>
      <c r="R78" s="256" t="n"/>
    </row>
    <row r="79" ht="30" customHeight="1" s="235">
      <c r="B79" s="237" t="n"/>
      <c r="R79" s="256" t="n"/>
    </row>
    <row r="80" ht="15" customHeight="1" s="235">
      <c r="B80" s="237" t="n"/>
      <c r="R80" s="256" t="n"/>
    </row>
    <row r="81" ht="15" customHeight="1" s="235">
      <c r="B81" s="237" t="n"/>
      <c r="R81" s="256" t="n"/>
    </row>
    <row r="82" ht="15" customHeight="1" s="235">
      <c r="B82" s="237" t="n"/>
      <c r="R82" s="256" t="n"/>
    </row>
    <row r="83" ht="15" customHeight="1" s="235">
      <c r="B83" s="237" t="n"/>
      <c r="R83" s="256" t="n"/>
    </row>
    <row r="84" ht="15" customHeight="1" s="235">
      <c r="B84" s="237" t="n"/>
      <c r="R84" s="256" t="n"/>
    </row>
    <row r="85" ht="15" customHeight="1" s="235">
      <c r="B85" s="237" t="n"/>
      <c r="R85" s="256" t="n"/>
    </row>
    <row r="86" ht="15" customHeight="1" s="235">
      <c r="B86" s="237" t="n"/>
      <c r="R86" s="256" t="n"/>
    </row>
    <row r="87" ht="15" customHeight="1" s="235">
      <c r="B87" s="237" t="n"/>
      <c r="R87" s="256" t="n"/>
    </row>
    <row r="88" ht="23.25" customHeight="1" s="235">
      <c r="B88" s="237" t="n"/>
      <c r="R88" s="256" t="n"/>
    </row>
    <row r="89" ht="15" customHeight="1" s="235">
      <c r="B89" s="237" t="n"/>
      <c r="R89" s="256" t="n"/>
    </row>
    <row r="90" ht="15" customHeight="1" s="235">
      <c r="B90" s="237" t="n"/>
      <c r="R90" s="256" t="n"/>
    </row>
    <row r="91" ht="15" customHeight="1" s="235">
      <c r="B91" s="237" t="n"/>
      <c r="R91" s="256" t="n"/>
      <c r="T91" s="48" t="n"/>
      <c r="U91" s="48" t="n"/>
      <c r="V91" s="48" t="n"/>
      <c r="W91" s="48" t="n"/>
      <c r="X91" s="48" t="n"/>
      <c r="Y91" s="48" t="n"/>
      <c r="Z91" s="48" t="n"/>
      <c r="AA91" s="48" t="n"/>
      <c r="AB91" s="48" t="n"/>
      <c r="AC91" s="48" t="n"/>
    </row>
    <row r="92" ht="15" customHeight="1" s="235">
      <c r="B92" s="237" t="n"/>
      <c r="R92" s="256" t="n"/>
    </row>
    <row r="93" ht="15" customHeight="1" s="235">
      <c r="B93" s="237" t="n"/>
      <c r="R93" s="256" t="n"/>
    </row>
    <row r="94" ht="15" customHeight="1" s="235">
      <c r="B94" s="237" t="n"/>
      <c r="R94" s="256" t="n"/>
    </row>
    <row r="95" ht="15" customHeight="1" s="235">
      <c r="B95" s="237" t="n"/>
      <c r="R95" s="256" t="n"/>
    </row>
    <row r="96" ht="15" customHeight="1" s="235">
      <c r="B96" s="237" t="n"/>
      <c r="R96" s="256" t="n"/>
    </row>
    <row r="97" ht="15" customHeight="1" s="235">
      <c r="B97" s="237" t="n"/>
      <c r="R97" s="256" t="n"/>
    </row>
    <row r="98" ht="15" customHeight="1" s="235">
      <c r="B98" s="237" t="n"/>
      <c r="R98" s="256" t="n"/>
    </row>
    <row r="99" ht="15" customHeight="1" s="235">
      <c r="B99" s="237" t="n"/>
      <c r="R99" s="256" t="n"/>
    </row>
    <row r="100" ht="15" customHeight="1" s="235">
      <c r="B100" s="237" t="n"/>
      <c r="R100" s="256" t="n"/>
    </row>
    <row r="101" ht="15" customHeight="1" s="235">
      <c r="B101" s="237" t="n"/>
      <c r="R101" s="256" t="n"/>
    </row>
    <row r="102" ht="15" customHeight="1" s="235">
      <c r="B102" s="237" t="n"/>
      <c r="R102" s="256" t="n"/>
    </row>
    <row r="103" ht="15" customHeight="1" s="235">
      <c r="B103" s="237" t="n"/>
      <c r="R103" s="256" t="n"/>
    </row>
    <row r="104" ht="15" customHeight="1" s="235">
      <c r="B104" s="237" t="n"/>
      <c r="R104" s="256" t="n"/>
    </row>
    <row r="105" ht="15.75" customHeight="1" s="235">
      <c r="B105" s="237" t="n"/>
      <c r="R105" s="256" t="n"/>
    </row>
    <row r="106" ht="15" customHeight="1" s="235" thickBot="1">
      <c r="B106" s="289" t="n"/>
      <c r="C106" s="257" t="n"/>
      <c r="D106" s="257" t="n"/>
      <c r="E106" s="257" t="n"/>
      <c r="F106" s="257" t="n"/>
      <c r="G106" s="257" t="n"/>
      <c r="H106" s="257" t="n"/>
      <c r="I106" s="257" t="n"/>
      <c r="J106" s="257" t="n"/>
      <c r="K106" s="257" t="n"/>
      <c r="L106" s="257" t="n"/>
      <c r="M106" s="257" t="n"/>
      <c r="N106" s="257" t="n"/>
      <c r="O106" s="257" t="n"/>
      <c r="P106" s="257" t="n"/>
      <c r="Q106" s="257" t="n"/>
      <c r="R106" s="258" t="n"/>
    </row>
    <row r="109">
      <c r="A109" s="104" t="n"/>
      <c r="B109" s="104" t="n"/>
      <c r="C109" s="104" t="n"/>
      <c r="D109" s="104" t="n"/>
      <c r="E109" s="104" t="n"/>
      <c r="F109" s="104" t="n"/>
      <c r="G109" s="104" t="n"/>
      <c r="H109" s="104" t="n"/>
      <c r="I109" s="104" t="n"/>
      <c r="J109" s="104" t="n"/>
      <c r="K109" s="104" t="n"/>
      <c r="L109" s="104" t="n"/>
      <c r="M109" s="104" t="n"/>
      <c r="N109" s="104" t="n"/>
      <c r="O109" s="104" t="n"/>
      <c r="P109" s="104" t="n"/>
      <c r="Q109" s="104" t="n"/>
      <c r="R109" s="104" t="n"/>
    </row>
  </sheetData>
  <mergeCells count="106">
    <mergeCell ref="M2:R2"/>
    <mergeCell ref="Q7:R7"/>
    <mergeCell ref="B18:D20"/>
    <mergeCell ref="O52:R52"/>
    <mergeCell ref="Q15:R16"/>
    <mergeCell ref="J28:K28"/>
    <mergeCell ref="L53:M53"/>
    <mergeCell ref="D37:F37"/>
    <mergeCell ref="J53:K53"/>
    <mergeCell ref="O54:P54"/>
    <mergeCell ref="J45:K45"/>
    <mergeCell ref="M3:R5"/>
    <mergeCell ref="M24:O24"/>
    <mergeCell ref="B38:C38"/>
    <mergeCell ref="K10:M10"/>
    <mergeCell ref="O55:P55"/>
    <mergeCell ref="B40:C40"/>
    <mergeCell ref="I17:M17"/>
    <mergeCell ref="Q17:R17"/>
    <mergeCell ref="Q11:R11"/>
    <mergeCell ref="E53:F53"/>
    <mergeCell ref="I13:J13"/>
    <mergeCell ref="B41:C41"/>
    <mergeCell ref="B35:C35"/>
    <mergeCell ref="D27:F27"/>
    <mergeCell ref="D41:F41"/>
    <mergeCell ref="B17:D17"/>
    <mergeCell ref="K12:M12"/>
    <mergeCell ref="D43:F43"/>
    <mergeCell ref="M37:O37"/>
    <mergeCell ref="J34:K34"/>
    <mergeCell ref="I7:J7"/>
    <mergeCell ref="J49:K49"/>
    <mergeCell ref="J27:K27"/>
    <mergeCell ref="M26:O26"/>
    <mergeCell ref="D25:F25"/>
    <mergeCell ref="J36:K36"/>
    <mergeCell ref="C13:G14"/>
    <mergeCell ref="B53:C53"/>
    <mergeCell ref="K7:M7"/>
    <mergeCell ref="B23:R23"/>
    <mergeCell ref="M38:O38"/>
    <mergeCell ref="B37:C37"/>
    <mergeCell ref="O56:P56"/>
    <mergeCell ref="I8:J8"/>
    <mergeCell ref="B65:R65"/>
    <mergeCell ref="D46:F46"/>
    <mergeCell ref="D40:F40"/>
    <mergeCell ref="F2:L2"/>
    <mergeCell ref="M35:O35"/>
    <mergeCell ref="I9:J9"/>
    <mergeCell ref="B54:C54"/>
    <mergeCell ref="J38:K38"/>
    <mergeCell ref="M25:O25"/>
    <mergeCell ref="Q18:R20"/>
    <mergeCell ref="J40:K40"/>
    <mergeCell ref="B43:C43"/>
    <mergeCell ref="B71:R106"/>
    <mergeCell ref="J24:K24"/>
    <mergeCell ref="B42:C42"/>
    <mergeCell ref="Q14:R14"/>
    <mergeCell ref="E18:H20"/>
    <mergeCell ref="J26:K26"/>
    <mergeCell ref="D42:F42"/>
    <mergeCell ref="J35:K35"/>
    <mergeCell ref="B44:C44"/>
    <mergeCell ref="B34:C34"/>
    <mergeCell ref="J25:K25"/>
    <mergeCell ref="D35:F35"/>
    <mergeCell ref="D44:F44"/>
    <mergeCell ref="D34:F34"/>
    <mergeCell ref="K15:M15"/>
    <mergeCell ref="E54:F54"/>
    <mergeCell ref="O7:P20"/>
    <mergeCell ref="J42:K42"/>
    <mergeCell ref="B45:C45"/>
    <mergeCell ref="D36:F36"/>
    <mergeCell ref="B33:R33"/>
    <mergeCell ref="D45:F45"/>
    <mergeCell ref="K8:M9"/>
    <mergeCell ref="J44:K44"/>
    <mergeCell ref="B61:M61"/>
    <mergeCell ref="B46:C46"/>
    <mergeCell ref="J37:K37"/>
    <mergeCell ref="J30:K30"/>
    <mergeCell ref="M27:O27"/>
    <mergeCell ref="M36:O36"/>
    <mergeCell ref="Q8:R10"/>
    <mergeCell ref="B62:M63"/>
    <mergeCell ref="D24:F24"/>
    <mergeCell ref="D38:F38"/>
    <mergeCell ref="I12:J12"/>
    <mergeCell ref="E17:H17"/>
    <mergeCell ref="J54:K54"/>
    <mergeCell ref="Q12:R13"/>
    <mergeCell ref="J41:K41"/>
    <mergeCell ref="D26:F26"/>
    <mergeCell ref="F3:L5"/>
    <mergeCell ref="I14:J14"/>
    <mergeCell ref="I18:M20"/>
    <mergeCell ref="M34:O34"/>
    <mergeCell ref="B66:R69"/>
    <mergeCell ref="J43:K43"/>
    <mergeCell ref="B36:C36"/>
    <mergeCell ref="B52:M52"/>
    <mergeCell ref="K13:M14"/>
  </mergeCells>
  <pageMargins left="0.7" right="0.7" top="0.75" bottom="0.75" header="0.3" footer="0.3"/>
  <pageSetup orientation="portrait" paperSize="9" scale="35" horizontalDpi="1200" verticalDpi="1200"/>
  <headerFooter>
    <oddHeader>&amp;C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_x000a_&amp;G</oddHeader>
    <oddFooter/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Y61"/>
  <sheetViews>
    <sheetView tabSelected="1" zoomScale="85" zoomScaleNormal="85" workbookViewId="0">
      <selection activeCell="S15" sqref="I14:S15"/>
    </sheetView>
  </sheetViews>
  <sheetFormatPr baseColWidth="8" defaultRowHeight="15"/>
  <cols>
    <col width="3.5703125" customWidth="1" style="235" min="1" max="1"/>
    <col width="15" bestFit="1" customWidth="1" style="235" min="3" max="3"/>
    <col width="12.140625" customWidth="1" style="235" min="6" max="6"/>
    <col width="17.28515625" customWidth="1" style="235" min="7" max="7"/>
    <col width="9.85546875" bestFit="1" customWidth="1" style="235" min="8" max="8"/>
    <col width="34.7109375" customWidth="1" style="235" min="9" max="9"/>
    <col width="20.7109375" bestFit="1" customWidth="1" style="235" min="10" max="10"/>
    <col width="21.5703125" customWidth="1" style="235" min="11" max="11"/>
    <col width="17" customWidth="1" style="235" min="12" max="12"/>
    <col width="18.5703125" bestFit="1" customWidth="1" style="235" min="13" max="13"/>
    <col width="19" customWidth="1" style="235" min="14" max="14"/>
    <col width="38.140625" customWidth="1" style="235" min="15" max="15"/>
    <col width="15.42578125" bestFit="1" customWidth="1" style="235" min="16" max="16"/>
    <col width="14.5703125" customWidth="1" style="235" min="17" max="17"/>
    <col width="17.140625" customWidth="1" style="235" min="18" max="18"/>
    <col width="11.5703125" bestFit="1" customWidth="1" style="235" min="19" max="19"/>
    <col width="11.5703125" customWidth="1" style="235" min="20" max="31"/>
    <col width="34.42578125" customWidth="1" style="235" min="32" max="32"/>
    <col width="11.5703125" customWidth="1" style="235" min="33" max="44"/>
    <col width="30.7109375" bestFit="1" customWidth="1" style="235" min="45" max="45"/>
    <col width="11.5703125" customWidth="1" style="235" min="46" max="47"/>
    <col width="34.140625" customWidth="1" style="235" min="48" max="48"/>
    <col width="11.5703125" customWidth="1" style="235" min="49" max="54"/>
    <col width="15.28515625" customWidth="1" style="235" min="55" max="55"/>
    <col width="15.85546875" customWidth="1" style="235" min="56" max="56"/>
    <col width="11.5703125" customWidth="1" style="235" min="57" max="63"/>
    <col width="33.7109375" bestFit="1" customWidth="1" style="235" min="64" max="64"/>
    <col width="24.42578125" bestFit="1" customWidth="1" style="235" min="65" max="65"/>
    <col width="24.85546875" bestFit="1" customWidth="1" style="235" min="66" max="66"/>
    <col width="10.85546875" customWidth="1" style="235" min="67" max="68"/>
    <col width="17.7109375" bestFit="1" customWidth="1" style="235" min="69" max="69"/>
    <col width="10.85546875" customWidth="1" style="235" min="70" max="70"/>
    <col width="15.28515625" customWidth="1" style="235" min="71" max="72"/>
    <col width="10.85546875" customWidth="1" style="235" min="73" max="73"/>
    <col width="11.5703125" customWidth="1" style="235" min="74" max="78"/>
    <col width="33.85546875" bestFit="1" customWidth="1" style="235" min="79" max="79"/>
    <col width="11.5703125" customWidth="1" style="235" min="80" max="85"/>
    <col width="18.28515625" bestFit="1" customWidth="1" style="235" min="86" max="86"/>
    <col width="11.5703125" customWidth="1" style="235" min="87" max="91"/>
    <col width="7.42578125" customWidth="1" style="235" min="92" max="92"/>
    <col width="11.5703125" customWidth="1" style="235" min="93" max="93"/>
    <col width="21.7109375" customWidth="1" style="235" min="94" max="94"/>
    <col width="11.5703125" customWidth="1" style="235" min="95" max="96"/>
    <col width="16.85546875" customWidth="1" style="235" min="97" max="103"/>
    <col width="10.5703125" customWidth="1" style="235" min="104" max="104"/>
    <col width="4" customWidth="1" style="235" min="105" max="106"/>
    <col width="20.42578125" customWidth="1" style="235" min="107" max="119"/>
    <col width="7.140625" customWidth="1" style="235" min="120" max="121"/>
    <col width="20.42578125" customWidth="1" style="235" min="122" max="123"/>
    <col width="33.42578125" customWidth="1" style="235" min="124" max="124"/>
    <col width="20.42578125" customWidth="1" style="235" min="125" max="134"/>
    <col width="4.28515625" customWidth="1" style="235" min="135" max="136"/>
    <col width="31.85546875" bestFit="1" customWidth="1" style="235" min="138" max="138"/>
    <col width="12.140625" customWidth="1" style="235" min="139" max="141"/>
    <col width="17.42578125" bestFit="1" customWidth="1" style="235" min="142" max="142"/>
    <col width="12.140625" customWidth="1" style="235" min="143" max="143"/>
    <col width="15" bestFit="1" customWidth="1" style="235" min="144" max="144"/>
    <col width="12.140625" customWidth="1" style="235" min="145" max="145"/>
    <col width="13.140625" bestFit="1" customWidth="1" style="235" min="146" max="146"/>
    <col width="12.140625" customWidth="1" style="235" min="147" max="147"/>
  </cols>
  <sheetData>
    <row r="1">
      <c r="J1" s="17" t="n"/>
    </row>
    <row r="2">
      <c r="K2" s="5" t="n"/>
    </row>
    <row r="4" ht="25.9" customHeight="1" s="235">
      <c r="G4" s="118" t="n"/>
      <c r="H4" s="116" t="n"/>
      <c r="I4" s="117">
        <f>J27</f>
        <v/>
      </c>
      <c r="J4" s="116" t="n"/>
      <c r="K4" s="116" t="n"/>
      <c r="L4" s="116" t="n"/>
      <c r="M4" s="116" t="n"/>
      <c r="N4" s="116">
        <f>N12/M12</f>
        <v/>
      </c>
      <c r="O4" s="116" t="n"/>
      <c r="P4" s="116" t="n"/>
      <c r="Q4" s="116" t="n"/>
      <c r="R4" s="116" t="n"/>
    </row>
    <row r="5">
      <c r="G5" s="118" t="n"/>
      <c r="H5" s="116" t="n"/>
      <c r="I5" s="116" t="inlineStr">
        <is>
          <t>Mercantil</t>
        </is>
      </c>
      <c r="J5" s="116" t="n"/>
      <c r="K5" s="116" t="n"/>
      <c r="L5" s="116" t="n"/>
      <c r="M5" s="116" t="n"/>
      <c r="N5" s="119">
        <f>N7/M7</f>
        <v/>
      </c>
      <c r="O5" s="116" t="n"/>
      <c r="P5" s="116" t="n"/>
      <c r="Q5" s="116" t="n"/>
      <c r="R5" s="116" t="n"/>
    </row>
    <row r="6" ht="28.9" customHeight="1" s="235">
      <c r="B6" t="inlineStr">
        <is>
          <t>A</t>
        </is>
      </c>
      <c r="C6" t="inlineStr">
        <is>
          <t>Coluna1</t>
        </is>
      </c>
      <c r="E6" t="inlineStr">
        <is>
          <t>B</t>
        </is>
      </c>
      <c r="F6" t="inlineStr">
        <is>
          <t>Coluna1</t>
        </is>
      </c>
      <c r="G6" s="118" t="n"/>
      <c r="H6" s="116" t="n"/>
      <c r="I6" s="120" t="inlineStr">
        <is>
          <t>Itens de Fatura</t>
        </is>
      </c>
      <c r="J6" s="120" t="inlineStr">
        <is>
          <t>Unid.</t>
        </is>
      </c>
      <c r="K6" s="120" t="inlineStr">
        <is>
          <t>Quant.</t>
        </is>
      </c>
      <c r="L6" s="120" t="inlineStr">
        <is>
          <t>Preço unit (r$) com tributos</t>
        </is>
      </c>
      <c r="M6" s="120" t="inlineStr">
        <is>
          <t>Valor(R$)</t>
        </is>
      </c>
      <c r="N6" s="120" t="inlineStr">
        <is>
          <t>PIS/COFINS</t>
        </is>
      </c>
      <c r="O6" s="120" t="inlineStr">
        <is>
          <t>Base Calc ICMS (R$)</t>
        </is>
      </c>
      <c r="P6" s="120" t="inlineStr">
        <is>
          <t>Alícota ICMS</t>
        </is>
      </c>
      <c r="Q6" s="120" t="inlineStr">
        <is>
          <t>ICMS</t>
        </is>
      </c>
      <c r="R6" s="120" t="inlineStr">
        <is>
          <t>Tarifa unit (R$)</t>
        </is>
      </c>
    </row>
    <row r="7">
      <c r="A7" s="113" t="n"/>
      <c r="B7" s="97" t="n">
        <v>1</v>
      </c>
      <c r="C7" s="105">
        <f>K7</f>
        <v/>
      </c>
      <c r="E7" s="99" t="n">
        <v>1</v>
      </c>
      <c r="F7" s="100">
        <f>$M$21</f>
        <v/>
      </c>
      <c r="G7" s="118" t="n"/>
      <c r="H7" s="116" t="n"/>
      <c r="I7" s="121" t="inlineStr">
        <is>
          <t>Energia Ativa Fornecida TE</t>
        </is>
      </c>
      <c r="J7" s="122" t="inlineStr">
        <is>
          <t>kWh</t>
        </is>
      </c>
      <c r="K7" s="123" t="n">
        <v>13298</v>
      </c>
      <c r="L7" s="124" t="n">
        <v>0.38156</v>
      </c>
      <c r="M7" s="125" t="n">
        <v>5074.01</v>
      </c>
      <c r="N7" s="124" t="n">
        <v>144.91</v>
      </c>
      <c r="O7" s="125" t="n">
        <v>5074.01</v>
      </c>
      <c r="P7" s="126" t="n">
        <v>0.2</v>
      </c>
      <c r="Q7" s="125" t="n">
        <v>1014.8</v>
      </c>
      <c r="R7" s="124" t="n">
        <v>0.29435</v>
      </c>
    </row>
    <row r="8">
      <c r="A8" s="113" t="n"/>
      <c r="B8" s="97" t="n">
        <v>2</v>
      </c>
      <c r="C8" s="105">
        <f>K8</f>
        <v/>
      </c>
      <c r="E8" s="99" t="n">
        <v>4</v>
      </c>
      <c r="F8" s="100">
        <f>$N$21</f>
        <v/>
      </c>
      <c r="G8" s="118" t="n"/>
      <c r="H8" s="116" t="n"/>
      <c r="I8" s="121" t="inlineStr">
        <is>
          <t>Energia Ativa Fornecida TUSD</t>
        </is>
      </c>
      <c r="J8" s="122" t="inlineStr">
        <is>
          <t>kWh</t>
        </is>
      </c>
      <c r="K8" s="123" t="n">
        <v>13298</v>
      </c>
      <c r="L8" s="124" t="n">
        <v>0.5777</v>
      </c>
      <c r="M8" s="125" t="n">
        <v>7682.28</v>
      </c>
      <c r="N8" s="124" t="n">
        <v>219.39</v>
      </c>
      <c r="O8" s="125" t="n">
        <v>7682.28</v>
      </c>
      <c r="P8" s="126" t="n">
        <v>0.2</v>
      </c>
      <c r="Q8" s="125" t="n">
        <v>1536.45</v>
      </c>
      <c r="R8" s="124" t="n">
        <v>0.44567</v>
      </c>
    </row>
    <row r="9" ht="19.5" customHeight="1" s="235">
      <c r="A9" s="113" t="n"/>
      <c r="B9" s="97" t="n">
        <v>3</v>
      </c>
      <c r="C9" s="105">
        <f>K11</f>
        <v/>
      </c>
      <c r="E9" s="99" t="n">
        <v>7</v>
      </c>
      <c r="F9" s="100">
        <f>$O$21</f>
        <v/>
      </c>
      <c r="G9" s="118" t="n"/>
      <c r="H9" s="116" t="n"/>
      <c r="I9" s="121" t="inlineStr">
        <is>
          <t>Energia Atv Inj TE oUC 04/2024 mPT</t>
        </is>
      </c>
      <c r="J9" s="122" t="inlineStr">
        <is>
          <t>kWh</t>
        </is>
      </c>
      <c r="K9" s="123" t="n">
        <v>9226</v>
      </c>
      <c r="L9" s="124" t="n">
        <v>-0.38156</v>
      </c>
      <c r="M9" s="124" t="n">
        <v>-3520.28</v>
      </c>
      <c r="N9" s="124" t="n">
        <v>-100.53</v>
      </c>
      <c r="O9" s="124" t="n">
        <v>-3520.28</v>
      </c>
      <c r="P9" s="126" t="n">
        <v>0.2</v>
      </c>
      <c r="Q9" s="124" t="n">
        <v>-704.05</v>
      </c>
      <c r="R9" s="124" t="n">
        <v>0.29435</v>
      </c>
    </row>
    <row r="10">
      <c r="A10" s="113" t="n"/>
      <c r="B10" s="97" t="n">
        <v>4</v>
      </c>
      <c r="C10" s="105">
        <f>K12</f>
        <v/>
      </c>
      <c r="E10" s="99" t="n">
        <v>10</v>
      </c>
      <c r="F10" s="101">
        <f>$P$21</f>
        <v/>
      </c>
      <c r="G10" s="118" t="n"/>
      <c r="H10" s="116" t="n"/>
      <c r="I10" s="121" t="inlineStr">
        <is>
          <t>Energia Atv Inj TUSD oUC 04/2024 mPT</t>
        </is>
      </c>
      <c r="J10" s="122" t="inlineStr">
        <is>
          <t>kWh</t>
        </is>
      </c>
      <c r="K10" s="123" t="n">
        <v>9226</v>
      </c>
      <c r="L10" s="124" t="n">
        <v>-0.46216</v>
      </c>
      <c r="M10" s="125" t="n">
        <v>-4263.91</v>
      </c>
      <c r="N10" s="124" t="n">
        <v>-152.21</v>
      </c>
      <c r="O10" s="125" t="n">
        <v>0</v>
      </c>
      <c r="P10" s="126" t="n">
        <v>0</v>
      </c>
      <c r="Q10" s="124" t="n">
        <v>0</v>
      </c>
      <c r="R10" s="124" t="n">
        <v>0.44567</v>
      </c>
    </row>
    <row r="11">
      <c r="A11" s="113" t="n"/>
      <c r="B11" s="97" t="n">
        <v>5</v>
      </c>
      <c r="C11" s="105">
        <f>K9</f>
        <v/>
      </c>
      <c r="G11" s="118" t="n"/>
      <c r="H11" s="116" t="n"/>
      <c r="I11" s="121" t="inlineStr">
        <is>
          <t>Energia Atv Inj TE oUC 04/2024 mPT</t>
        </is>
      </c>
      <c r="J11" s="122" t="inlineStr">
        <is>
          <t>kWh</t>
        </is>
      </c>
      <c r="K11" s="123" t="n">
        <v>1717</v>
      </c>
      <c r="L11" s="124" t="n">
        <v>-0.38155</v>
      </c>
      <c r="M11" s="124" t="n">
        <v>-655.12</v>
      </c>
      <c r="N11" s="124" t="n">
        <v>-18.7</v>
      </c>
      <c r="O11" s="124" t="n">
        <v>-655.12</v>
      </c>
      <c r="P11" s="126" t="n">
        <v>0.2</v>
      </c>
      <c r="Q11" s="124" t="n">
        <v>-131.02</v>
      </c>
      <c r="R11" s="124" t="n">
        <v>0.29435</v>
      </c>
    </row>
    <row r="12">
      <c r="A12" s="113" t="n"/>
      <c r="B12" s="97" t="n">
        <v>6</v>
      </c>
      <c r="C12" s="105">
        <f>K10</f>
        <v/>
      </c>
      <c r="G12" s="118" t="n"/>
      <c r="H12" s="116" t="n"/>
      <c r="I12" s="121" t="inlineStr">
        <is>
          <t>Energia Atv Inj TUSD oUC 04/2024 mPT</t>
        </is>
      </c>
      <c r="J12" s="122" t="inlineStr">
        <is>
          <t>kWh</t>
        </is>
      </c>
      <c r="K12" s="123" t="n">
        <v>1717</v>
      </c>
      <c r="L12" s="124" t="n">
        <v>-0.46215</v>
      </c>
      <c r="M12" s="125" t="n">
        <v>-793.51</v>
      </c>
      <c r="N12" s="124" t="n">
        <v>-28.31</v>
      </c>
      <c r="O12" s="124" t="n">
        <v>0</v>
      </c>
      <c r="P12" s="126" t="n">
        <v>0</v>
      </c>
      <c r="Q12" s="124" t="n">
        <v>0</v>
      </c>
      <c r="R12" s="124" t="n">
        <v>0.44567</v>
      </c>
    </row>
    <row r="13">
      <c r="A13" s="113" t="n"/>
      <c r="B13" s="97" t="n">
        <v>7</v>
      </c>
      <c r="C13" s="351">
        <f>L7</f>
        <v/>
      </c>
      <c r="G13" s="118" t="n"/>
      <c r="H13" s="127" t="n"/>
      <c r="I13" s="121" t="inlineStr">
        <is>
          <t>CIP ILUM PUB PREF MUNICIPAL</t>
        </is>
      </c>
      <c r="J13" s="122" t="inlineStr"/>
      <c r="K13" s="123" t="inlineStr"/>
      <c r="L13" s="124" t="inlineStr"/>
      <c r="M13" s="125" t="n">
        <v>139.02</v>
      </c>
      <c r="N13" s="124" t="n">
        <v>0</v>
      </c>
      <c r="O13" s="124" t="n">
        <v>0</v>
      </c>
      <c r="P13" s="126" t="n">
        <v>0</v>
      </c>
      <c r="Q13" s="124" t="n">
        <v>0</v>
      </c>
      <c r="R13" s="124" t="inlineStr"/>
    </row>
    <row r="14">
      <c r="A14" s="113" t="n"/>
      <c r="B14" s="97" t="n">
        <v>8</v>
      </c>
      <c r="C14" s="351">
        <f>L8</f>
        <v/>
      </c>
      <c r="G14" s="118" t="n"/>
      <c r="H14" s="116" t="n"/>
    </row>
    <row r="15">
      <c r="A15" s="113" t="n"/>
      <c r="B15" s="97" t="n">
        <v>9</v>
      </c>
      <c r="C15" s="351">
        <f>L11</f>
        <v/>
      </c>
      <c r="G15" s="118" t="n"/>
      <c r="H15" s="116" t="n"/>
    </row>
    <row r="16">
      <c r="A16" s="113" t="n"/>
      <c r="B16" s="97" t="n">
        <v>10</v>
      </c>
      <c r="C16" s="351">
        <f>L12</f>
        <v/>
      </c>
      <c r="G16" s="118" t="n"/>
      <c r="H16" s="116" t="n"/>
      <c r="I16" s="116" t="n"/>
      <c r="J16" s="116" t="inlineStr">
        <is>
          <t>outros</t>
        </is>
      </c>
      <c r="K16" s="128" t="n">
        <v>0</v>
      </c>
      <c r="L16" s="116" t="n"/>
      <c r="M16" s="116" t="n"/>
      <c r="N16" s="116" t="n"/>
      <c r="O16" s="116" t="n"/>
      <c r="P16" s="116" t="n"/>
      <c r="Q16" s="116" t="n"/>
      <c r="R16" s="116" t="n"/>
    </row>
    <row r="17">
      <c r="A17" s="113" t="n"/>
      <c r="B17" s="97" t="n">
        <v>11</v>
      </c>
      <c r="C17" s="351">
        <f>L9</f>
        <v/>
      </c>
      <c r="G17" s="118" t="n"/>
      <c r="H17" s="116" t="n"/>
      <c r="I17" s="116" t="n"/>
      <c r="J17" s="116" t="n"/>
      <c r="K17" s="129" t="n">
        <v>0</v>
      </c>
      <c r="L17" s="116" t="n"/>
      <c r="M17" s="116" t="n"/>
      <c r="N17" s="116" t="n"/>
      <c r="O17" s="116" t="n"/>
      <c r="P17" s="116" t="n"/>
      <c r="Q17" s="116" t="n"/>
      <c r="R17" s="116" t="n"/>
    </row>
    <row r="18">
      <c r="A18" s="113" t="n"/>
      <c r="B18" s="97" t="n">
        <v>12</v>
      </c>
      <c r="C18" s="351">
        <f>L10</f>
        <v/>
      </c>
      <c r="G18" s="118" t="n"/>
      <c r="H18" s="116" t="n"/>
      <c r="I18" s="116" t="n"/>
      <c r="J18" s="116" t="n"/>
      <c r="K18" s="116">
        <f>K16+K17</f>
        <v/>
      </c>
      <c r="L18" s="116" t="n"/>
      <c r="M18" s="116" t="n"/>
      <c r="N18" s="116" t="n"/>
      <c r="O18" s="116" t="n"/>
      <c r="P18" s="116" t="n"/>
      <c r="Q18" s="116" t="n"/>
      <c r="R18" s="116" t="n"/>
    </row>
    <row r="19">
      <c r="B19" s="97" t="n">
        <v>13</v>
      </c>
      <c r="C19" s="352">
        <f>M7</f>
        <v/>
      </c>
      <c r="G19" s="118" t="n"/>
      <c r="H19" s="116" t="n"/>
      <c r="I19" s="116" t="n"/>
      <c r="J19" s="116" t="n"/>
      <c r="K19" s="116" t="n"/>
      <c r="L19" s="116" t="n"/>
      <c r="M19" s="116" t="n"/>
      <c r="N19" s="116" t="n"/>
      <c r="O19" s="116" t="n"/>
      <c r="P19" s="116" t="n"/>
      <c r="Q19" s="116" t="n"/>
      <c r="R19" s="116" t="n"/>
    </row>
    <row r="20" ht="27.6" customHeight="1" s="235">
      <c r="B20" s="97" t="n">
        <v>14</v>
      </c>
      <c r="C20" s="352">
        <f>M8</f>
        <v/>
      </c>
      <c r="G20" s="118" t="n"/>
      <c r="H20" s="116" t="n"/>
      <c r="I20" s="130" t="inlineStr">
        <is>
          <t>TORRE</t>
        </is>
      </c>
      <c r="J20" s="131" t="inlineStr">
        <is>
          <t>Medidor</t>
        </is>
      </c>
      <c r="K20" s="131" t="inlineStr">
        <is>
          <t>Grandezas</t>
        </is>
      </c>
      <c r="L20" s="131" t="inlineStr">
        <is>
          <t>Postos Tarifários</t>
        </is>
      </c>
      <c r="M20" s="131" t="inlineStr">
        <is>
          <t>Leitura Anterior</t>
        </is>
      </c>
      <c r="N20" s="131" t="inlineStr">
        <is>
          <t>Leitura Atual</t>
        </is>
      </c>
      <c r="O20" s="131" t="inlineStr">
        <is>
          <t>Const. Medidor</t>
        </is>
      </c>
      <c r="P20" s="131" t="inlineStr">
        <is>
          <t>Consumo kWh/Kw</t>
        </is>
      </c>
      <c r="Q20" s="132" t="n"/>
      <c r="R20" s="132" t="n"/>
    </row>
    <row r="21">
      <c r="B21" s="97" t="n">
        <v>15</v>
      </c>
      <c r="C21" s="352">
        <f>M11</f>
        <v/>
      </c>
      <c r="G21" s="118" t="n"/>
      <c r="H21" s="116" t="n"/>
      <c r="I21" s="133" t="inlineStr">
        <is>
          <t xml:space="preserve">TORRE A </t>
        </is>
      </c>
      <c r="J21" s="122" t="inlineStr">
        <is>
          <t>5259341-ELE-647</t>
        </is>
      </c>
      <c r="K21" s="134" t="inlineStr">
        <is>
          <t>ENERGIA ATIVA - KWH</t>
        </is>
      </c>
      <c r="L21" s="134" t="inlineStr">
        <is>
          <t>HFP</t>
        </is>
      </c>
      <c r="M21" s="124" t="inlineStr">
        <is>
          <t>12768.00</t>
        </is>
      </c>
      <c r="N21" s="124" t="inlineStr">
        <is>
          <t>26066.00</t>
        </is>
      </c>
      <c r="O21" s="124" t="inlineStr">
        <is>
          <t>1.00</t>
        </is>
      </c>
      <c r="P21" s="124" t="inlineStr">
        <is>
          <t>13298.00</t>
        </is>
      </c>
      <c r="Q21" s="132" t="n"/>
      <c r="R21" s="132" t="n"/>
    </row>
    <row r="22">
      <c r="B22" s="97" t="n">
        <v>16</v>
      </c>
      <c r="C22" s="352">
        <f>M12</f>
        <v/>
      </c>
      <c r="G22" s="118" t="n"/>
      <c r="H22" s="116" t="n"/>
      <c r="I22" s="116" t="n"/>
      <c r="J22" s="116" t="n"/>
      <c r="K22" s="116" t="n"/>
      <c r="L22" s="116" t="n"/>
      <c r="M22" s="116" t="n"/>
      <c r="N22" s="116" t="n"/>
      <c r="O22" s="116" t="n"/>
      <c r="P22" s="116" t="n"/>
      <c r="Q22" s="132" t="n"/>
      <c r="R22" s="132" t="n"/>
    </row>
    <row r="23" ht="39" customHeight="1" s="235">
      <c r="B23" s="97" t="n">
        <v>17</v>
      </c>
      <c r="C23" s="352">
        <f>M9</f>
        <v/>
      </c>
      <c r="G23" s="118" t="n"/>
      <c r="H23" s="116" t="n"/>
      <c r="I23" s="135" t="inlineStr">
        <is>
          <t>DATAS DA LEITURA</t>
        </is>
      </c>
      <c r="J23" s="136" t="inlineStr">
        <is>
          <t>LEITURA ANTERIOR</t>
        </is>
      </c>
      <c r="K23" s="137" t="inlineStr">
        <is>
          <t>LEITURA ATUAL</t>
        </is>
      </c>
      <c r="L23" s="137" t="inlineStr">
        <is>
          <t>N DE DIAS</t>
        </is>
      </c>
      <c r="M23" s="137" t="inlineStr">
        <is>
          <t>PRÓXIMA LEITURA</t>
        </is>
      </c>
      <c r="N23" s="116" t="n"/>
      <c r="O23" s="122" t="inlineStr">
        <is>
          <t>Mercantil</t>
        </is>
      </c>
      <c r="P23" s="353" t="n">
        <v>1759.93</v>
      </c>
      <c r="Q23" s="132" t="n"/>
      <c r="R23" s="132" t="n"/>
    </row>
    <row r="24">
      <c r="B24" s="97" t="n">
        <v>18</v>
      </c>
      <c r="C24" s="352">
        <f>M10</f>
        <v/>
      </c>
      <c r="G24" s="118" t="n"/>
      <c r="H24" s="116" t="n"/>
      <c r="I24" s="138" t="n"/>
      <c r="J24" s="139" t="inlineStr">
        <is>
          <t>28/03/2024</t>
        </is>
      </c>
      <c r="K24" s="140" t="inlineStr">
        <is>
          <t>26/04/2024</t>
        </is>
      </c>
      <c r="L24" s="141" t="inlineStr">
        <is>
          <t>29</t>
        </is>
      </c>
      <c r="M24" s="140" t="inlineStr">
        <is>
          <t>28/05/2024</t>
        </is>
      </c>
      <c r="N24" s="116" t="n"/>
      <c r="O24" s="122" t="inlineStr">
        <is>
          <t>UND GERADORA 1 - SF PV 100</t>
        </is>
      </c>
      <c r="P24" s="353" t="n">
        <v>0</v>
      </c>
      <c r="Q24" s="353" t="n"/>
      <c r="R24" s="116" t="n"/>
    </row>
    <row r="25">
      <c r="A25" s="114" t="n"/>
      <c r="B25" s="97" t="n">
        <v>19</v>
      </c>
      <c r="C25" s="352">
        <f>M13</f>
        <v/>
      </c>
      <c r="G25" s="118" t="n"/>
      <c r="H25" s="116" t="n"/>
      <c r="I25" s="116" t="n"/>
      <c r="J25" s="116" t="n"/>
      <c r="K25" s="116" t="n"/>
      <c r="L25" s="116" t="n"/>
      <c r="M25" s="116" t="n"/>
      <c r="N25" s="116" t="n"/>
      <c r="O25" s="122" t="inlineStr">
        <is>
          <t>UND GERADORA 2 - SF BEBERIBE</t>
        </is>
      </c>
      <c r="P25" s="353" t="n">
        <v>0</v>
      </c>
      <c r="Q25" s="353" t="n"/>
      <c r="R25" s="132" t="n"/>
    </row>
    <row r="26">
      <c r="B26" s="97" t="n">
        <v>20</v>
      </c>
      <c r="C26" s="352">
        <f>N7</f>
        <v/>
      </c>
      <c r="G26" s="118" t="n"/>
      <c r="H26" s="116" t="n"/>
      <c r="I26" s="116" t="n"/>
      <c r="J26" s="142" t="inlineStr">
        <is>
          <t>MÊS/ANO</t>
        </is>
      </c>
      <c r="K26" s="142" t="inlineStr">
        <is>
          <t>VENCIMENTO</t>
        </is>
      </c>
      <c r="L26" s="116" t="n"/>
      <c r="M26" s="116" t="n"/>
      <c r="N26" s="116" t="n"/>
      <c r="O26" s="116" t="n"/>
      <c r="P26" s="116" t="n"/>
      <c r="Q26" s="116" t="n"/>
      <c r="R26" s="116" t="n"/>
    </row>
    <row r="27">
      <c r="B27" s="97" t="n">
        <v>21</v>
      </c>
      <c r="C27" s="352">
        <f>N8</f>
        <v/>
      </c>
      <c r="G27" s="143" t="n">
        <v>45419</v>
      </c>
      <c r="H27" s="116" t="n"/>
      <c r="I27" s="116" t="n"/>
      <c r="J27" s="354" t="inlineStr">
        <is>
          <t>04/2024</t>
        </is>
      </c>
      <c r="K27" s="140" t="inlineStr">
        <is>
          <t>17/05/2024</t>
        </is>
      </c>
      <c r="L27" s="116" t="n"/>
      <c r="M27" s="116" t="n"/>
      <c r="N27" s="116" t="n"/>
      <c r="O27" s="116" t="n"/>
      <c r="P27" s="116" t="n"/>
      <c r="Q27" s="116" t="n"/>
      <c r="R27" s="116" t="n"/>
    </row>
    <row r="28">
      <c r="B28" s="97" t="n">
        <v>22</v>
      </c>
      <c r="C28" s="352">
        <f>N11</f>
        <v/>
      </c>
      <c r="G28" s="118" t="n"/>
      <c r="H28" s="116" t="n"/>
      <c r="I28" s="116" t="n"/>
      <c r="J28" s="116" t="n"/>
      <c r="K28" s="116" t="n"/>
      <c r="L28" s="116" t="n"/>
      <c r="M28" s="116" t="n"/>
      <c r="N28" s="116" t="n"/>
      <c r="O28" s="116" t="n"/>
      <c r="P28" s="116" t="n"/>
      <c r="Q28" s="116" t="n"/>
      <c r="R28" s="116" t="n"/>
    </row>
    <row r="29">
      <c r="B29" s="97" t="n">
        <v>23</v>
      </c>
      <c r="C29" s="352">
        <f>N12</f>
        <v/>
      </c>
      <c r="G29" s="118" t="n"/>
      <c r="H29" s="116" t="n"/>
      <c r="I29" s="116" t="n"/>
      <c r="J29" s="116" t="n"/>
      <c r="K29" s="144">
        <f>K31</f>
        <v/>
      </c>
      <c r="L29" s="116" t="n"/>
      <c r="M29" s="116" t="n"/>
      <c r="N29" s="116" t="n"/>
      <c r="O29" s="118" t="n"/>
      <c r="P29" s="118" t="n"/>
      <c r="Q29" s="118" t="n"/>
      <c r="R29" s="118" t="n"/>
    </row>
    <row r="30" ht="28.9" customHeight="1" s="235">
      <c r="B30" s="97" t="n">
        <v>24</v>
      </c>
      <c r="C30" s="352">
        <f>N13</f>
        <v/>
      </c>
      <c r="G30" s="118" t="n"/>
      <c r="H30" s="145" t="inlineStr">
        <is>
          <t>Mercantil</t>
        </is>
      </c>
      <c r="I30" s="120" t="inlineStr">
        <is>
          <t>Itens de Fatura</t>
        </is>
      </c>
      <c r="J30" s="120" t="inlineStr">
        <is>
          <t>Unid.</t>
        </is>
      </c>
      <c r="K30" s="120" t="inlineStr">
        <is>
          <t>Quant.</t>
        </is>
      </c>
      <c r="L30" s="120" t="inlineStr">
        <is>
          <t>Preço unit (r$) com tributos</t>
        </is>
      </c>
      <c r="M30" s="120" t="inlineStr">
        <is>
          <t>Valor(R$)</t>
        </is>
      </c>
      <c r="N30" s="120" t="inlineStr">
        <is>
          <t>PIS/COFINS</t>
        </is>
      </c>
      <c r="O30" s="120" t="inlineStr">
        <is>
          <t>Base Calc ICMS (R$)</t>
        </is>
      </c>
      <c r="P30" s="120" t="inlineStr">
        <is>
          <t>Alícota ICMS</t>
        </is>
      </c>
      <c r="Q30" s="120" t="inlineStr">
        <is>
          <t>ICMS</t>
        </is>
      </c>
      <c r="R30" s="120" t="inlineStr">
        <is>
          <t>Tarifa unit (R$)</t>
        </is>
      </c>
    </row>
    <row r="31">
      <c r="B31" s="97" t="n">
        <v>25</v>
      </c>
      <c r="C31" s="352">
        <f>N9</f>
        <v/>
      </c>
      <c r="G31" s="118" t="n"/>
      <c r="H31" s="145" t="inlineStr">
        <is>
          <t>A</t>
        </is>
      </c>
      <c r="I31" s="146" t="inlineStr">
        <is>
          <t>Energia Atv Inj TE oUC 03/2024 mPT</t>
        </is>
      </c>
      <c r="J31" s="145" t="inlineStr">
        <is>
          <t>kWh</t>
        </is>
      </c>
      <c r="K31" s="147" t="n">
        <v>2255</v>
      </c>
      <c r="L31" s="147" t="n">
        <v>-0.38155</v>
      </c>
      <c r="M31" s="147" t="n">
        <v>-860.4</v>
      </c>
      <c r="N31" s="147" t="n">
        <v>-24.56</v>
      </c>
      <c r="O31" s="147" t="n">
        <v>-860.4</v>
      </c>
      <c r="P31" s="148" t="n">
        <v>0.2</v>
      </c>
      <c r="Q31" s="147" t="n">
        <v>-172.08</v>
      </c>
      <c r="R31" s="147" t="n">
        <v>0.29435</v>
      </c>
    </row>
    <row r="32">
      <c r="B32" s="97" t="n">
        <v>26</v>
      </c>
      <c r="C32" s="352">
        <f>N10</f>
        <v/>
      </c>
      <c r="G32" s="118" t="n"/>
      <c r="H32" s="145" t="inlineStr">
        <is>
          <t>A</t>
        </is>
      </c>
      <c r="I32" s="146" t="inlineStr">
        <is>
          <t>Energia Atv Inj TUSD oUC 03/2024 mPT</t>
        </is>
      </c>
      <c r="J32" s="145" t="inlineStr">
        <is>
          <t>kWh</t>
        </is>
      </c>
      <c r="K32" s="147" t="n">
        <v>2255</v>
      </c>
      <c r="L32" s="147" t="n">
        <v>-0.46216</v>
      </c>
      <c r="M32" s="147" t="n">
        <v>-1042.16</v>
      </c>
      <c r="N32" s="147" t="n">
        <v>-37.19</v>
      </c>
      <c r="O32" s="147" t="n">
        <v>0</v>
      </c>
      <c r="P32" s="148" t="n">
        <v>0</v>
      </c>
      <c r="Q32" s="147" t="n">
        <v>0</v>
      </c>
      <c r="R32" s="147" t="n">
        <v>0.44567</v>
      </c>
    </row>
    <row r="33">
      <c r="A33" s="114" t="n"/>
      <c r="B33" s="97" t="n">
        <v>27</v>
      </c>
      <c r="C33" s="352">
        <f>O7</f>
        <v/>
      </c>
      <c r="G33" s="118" t="n"/>
      <c r="H33" s="118" t="n"/>
      <c r="I33" s="118" t="n"/>
      <c r="J33" s="118" t="n"/>
      <c r="K33" s="118" t="n"/>
      <c r="L33" s="118" t="n"/>
      <c r="M33" s="118" t="n"/>
      <c r="N33" s="118" t="n"/>
      <c r="O33" s="118" t="n"/>
      <c r="P33" s="118" t="n"/>
      <c r="Q33" s="118" t="n"/>
      <c r="R33" s="118" t="n"/>
    </row>
    <row r="34">
      <c r="B34" s="97" t="n">
        <v>28</v>
      </c>
      <c r="C34" s="352">
        <f>O8</f>
        <v/>
      </c>
      <c r="G34" s="118" t="n"/>
      <c r="H34" s="118" t="n"/>
      <c r="I34" s="118" t="n"/>
      <c r="J34" s="118" t="n"/>
      <c r="K34" s="118" t="n"/>
      <c r="L34" s="118" t="n"/>
      <c r="M34" s="118" t="n"/>
      <c r="N34" s="118" t="n"/>
      <c r="O34" s="149" t="n"/>
      <c r="P34" s="149" t="n"/>
      <c r="Q34" s="149" t="n"/>
      <c r="R34" s="149" t="n"/>
      <c r="S34" s="96" t="n"/>
      <c r="T34" s="96" t="n"/>
      <c r="U34" s="96" t="n"/>
    </row>
    <row r="35" ht="15.75" customHeight="1" s="235">
      <c r="B35" s="97" t="n">
        <v>29</v>
      </c>
      <c r="C35" s="352">
        <f>O11</f>
        <v/>
      </c>
      <c r="G35" s="118" t="n"/>
      <c r="H35" s="118" t="n"/>
      <c r="I35" s="118" t="n"/>
      <c r="J35" s="118" t="n"/>
      <c r="K35" s="118" t="n"/>
      <c r="L35" s="118" t="n"/>
      <c r="M35" s="118" t="n"/>
      <c r="N35" s="118" t="n"/>
      <c r="O35" s="118" t="n"/>
      <c r="P35" s="118" t="n"/>
      <c r="Q35" s="118" t="n"/>
      <c r="R35" s="118" t="n"/>
      <c r="S35" s="96" t="n"/>
      <c r="T35" s="96" t="n"/>
      <c r="U35" s="96" t="n"/>
      <c r="V35" s="96" t="n"/>
      <c r="W35" s="96" t="n"/>
      <c r="X35" s="96" t="n"/>
      <c r="Y35" s="96" t="n"/>
    </row>
    <row r="36" ht="15.75" customHeight="1" s="235">
      <c r="B36" s="97" t="n">
        <v>30</v>
      </c>
      <c r="C36" s="352">
        <f>O12</f>
        <v/>
      </c>
    </row>
    <row r="37">
      <c r="B37" s="97" t="n">
        <v>31</v>
      </c>
      <c r="C37" s="352">
        <f>O13</f>
        <v/>
      </c>
    </row>
    <row r="38" ht="15.75" customHeight="1" s="235">
      <c r="B38" s="97" t="n">
        <v>32</v>
      </c>
      <c r="C38" s="352">
        <f>O9</f>
        <v/>
      </c>
    </row>
    <row r="39">
      <c r="B39" s="97" t="n">
        <v>33</v>
      </c>
      <c r="C39" s="352">
        <f>O10</f>
        <v/>
      </c>
    </row>
    <row r="40">
      <c r="A40" s="114" t="n"/>
      <c r="B40" s="97" t="n">
        <v>34</v>
      </c>
      <c r="C40" s="98">
        <f>P7</f>
        <v/>
      </c>
    </row>
    <row r="41">
      <c r="B41" s="97" t="n">
        <v>35</v>
      </c>
      <c r="C41" s="98">
        <f>P8</f>
        <v/>
      </c>
    </row>
    <row r="42">
      <c r="B42" s="97" t="n">
        <v>36</v>
      </c>
      <c r="C42" s="98">
        <f>P11</f>
        <v/>
      </c>
    </row>
    <row r="43" ht="18.75" customHeight="1" s="235">
      <c r="B43" s="97" t="n">
        <v>37</v>
      </c>
      <c r="C43" s="98">
        <f>P12</f>
        <v/>
      </c>
    </row>
    <row r="44" ht="18.75" customHeight="1" s="235">
      <c r="B44" s="97" t="n">
        <v>38</v>
      </c>
      <c r="C44" s="98">
        <f>P13</f>
        <v/>
      </c>
    </row>
    <row r="45">
      <c r="B45" s="97" t="n">
        <v>39</v>
      </c>
      <c r="C45" s="98">
        <f>P9</f>
        <v/>
      </c>
    </row>
    <row r="46">
      <c r="B46" s="97" t="n">
        <v>40</v>
      </c>
      <c r="C46" s="98">
        <f>P10</f>
        <v/>
      </c>
    </row>
    <row r="47">
      <c r="A47" s="114" t="n"/>
      <c r="B47" s="97" t="n">
        <v>41</v>
      </c>
      <c r="C47" s="352">
        <f>Q7</f>
        <v/>
      </c>
    </row>
    <row r="48">
      <c r="B48" s="97" t="n">
        <v>42</v>
      </c>
      <c r="C48" s="352">
        <f>Q8</f>
        <v/>
      </c>
    </row>
    <row r="49">
      <c r="B49" s="97" t="n">
        <v>43</v>
      </c>
      <c r="C49" s="352">
        <f>Q11</f>
        <v/>
      </c>
    </row>
    <row r="50">
      <c r="B50" s="97" t="n">
        <v>44</v>
      </c>
      <c r="C50" s="352">
        <f>Q12</f>
        <v/>
      </c>
    </row>
    <row r="51">
      <c r="B51" s="97" t="n">
        <v>45</v>
      </c>
      <c r="C51" s="352">
        <f>Q13</f>
        <v/>
      </c>
    </row>
    <row r="52">
      <c r="B52" s="97" t="n">
        <v>46</v>
      </c>
      <c r="C52" s="352">
        <f>Q9</f>
        <v/>
      </c>
    </row>
    <row r="53">
      <c r="B53" s="97" t="n">
        <v>47</v>
      </c>
      <c r="C53" s="352">
        <f>Q10</f>
        <v/>
      </c>
    </row>
    <row r="54">
      <c r="A54" s="114" t="n"/>
      <c r="B54" s="97" t="n">
        <v>48</v>
      </c>
      <c r="C54" s="351">
        <f>R7</f>
        <v/>
      </c>
    </row>
    <row r="55">
      <c r="B55" s="97" t="n">
        <v>49</v>
      </c>
      <c r="C55" s="351">
        <f>R8</f>
        <v/>
      </c>
    </row>
    <row r="56">
      <c r="B56" s="97" t="n">
        <v>36</v>
      </c>
      <c r="C56" s="351">
        <f>R11</f>
        <v/>
      </c>
    </row>
    <row r="57">
      <c r="B57" s="97" t="n">
        <v>37</v>
      </c>
      <c r="C57" s="351">
        <f>R12</f>
        <v/>
      </c>
    </row>
    <row r="58">
      <c r="B58" s="97" t="n">
        <v>38</v>
      </c>
      <c r="C58" s="351">
        <f>R13</f>
        <v/>
      </c>
    </row>
    <row r="59">
      <c r="B59" s="97" t="n">
        <v>39</v>
      </c>
      <c r="C59" s="351">
        <f>R9</f>
        <v/>
      </c>
    </row>
    <row r="60">
      <c r="B60" s="97" t="n">
        <v>40</v>
      </c>
      <c r="C60" s="351">
        <f>R10</f>
        <v/>
      </c>
    </row>
    <row r="61">
      <c r="B61" s="115" t="n">
        <v>115</v>
      </c>
      <c r="C61" s="355">
        <f>K29</f>
        <v/>
      </c>
    </row>
  </sheetData>
  <pageMargins left="0.511811024" right="0.511811024" top="0.787401575" bottom="0.787401575" header="0.31496062" footer="0.31496062"/>
  <pageSetup orientation="portrait" paperSize="9"/>
  <tableParts count="2">
    <tablePart r:id="rId1"/>
    <tablePart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AK80"/>
  <sheetViews>
    <sheetView topLeftCell="A6" zoomScale="70" zoomScaleNormal="70" workbookViewId="0">
      <selection activeCell="U22" sqref="U22"/>
    </sheetView>
  </sheetViews>
  <sheetFormatPr baseColWidth="8" defaultRowHeight="15"/>
  <cols>
    <col width="2.140625" customWidth="1" style="235" min="1" max="20"/>
    <col width="32" customWidth="1" style="235" min="25" max="25"/>
    <col width="8.85546875" customWidth="1" style="235" min="26" max="26"/>
    <col width="21.42578125" customWidth="1" style="235" min="27" max="27"/>
    <col width="12.140625" customWidth="1" style="235" min="28" max="28"/>
    <col width="16.28515625" customWidth="1" style="235" min="29" max="29"/>
    <col width="14" customWidth="1" style="235" min="30" max="30"/>
    <col width="15" bestFit="1" customWidth="1" style="235" min="31" max="31"/>
    <col width="16.7109375" customWidth="1" style="235" min="32" max="32"/>
    <col width="14" customWidth="1" style="235" min="33" max="34"/>
    <col width="13.140625" bestFit="1" customWidth="1" style="235" min="35" max="35"/>
    <col width="12.5703125" customWidth="1" style="235" min="36" max="36"/>
  </cols>
  <sheetData>
    <row r="4">
      <c r="C4" t="inlineStr">
        <is>
          <t>geraçao</t>
        </is>
      </c>
      <c r="Y4" t="inlineStr">
        <is>
          <t>TORRE A</t>
        </is>
      </c>
    </row>
    <row r="5" ht="68.25" customHeight="1" s="235">
      <c r="C5" s="1" t="n"/>
      <c r="D5" s="3" t="inlineStr">
        <is>
          <t>inj</t>
        </is>
      </c>
      <c r="E5" s="3" t="inlineStr">
        <is>
          <t>saldo util no mês</t>
        </is>
      </c>
      <c r="F5" s="3" t="inlineStr">
        <is>
          <t>sald atualiz</t>
        </is>
      </c>
      <c r="J5" s="310" t="n"/>
      <c r="K5" s="10" t="inlineStr">
        <is>
          <t>consumo</t>
        </is>
      </c>
      <c r="L5" s="11" t="inlineStr">
        <is>
          <t>energia inj</t>
        </is>
      </c>
      <c r="M5" s="11" t="inlineStr">
        <is>
          <t>saldo utilizado</t>
        </is>
      </c>
      <c r="N5" s="11" t="inlineStr">
        <is>
          <t>saldo atualizado</t>
        </is>
      </c>
      <c r="O5" s="11" t="inlineStr">
        <is>
          <t>geraçao de credito</t>
        </is>
      </c>
      <c r="P5" s="11" t="inlineStr">
        <is>
          <t>cred a expirar prox mês</t>
        </is>
      </c>
      <c r="Q5" s="16" t="inlineStr">
        <is>
          <t>energia gerada</t>
        </is>
      </c>
      <c r="Y5" s="22" t="inlineStr">
        <is>
          <t>Itens de Fatura</t>
        </is>
      </c>
      <c r="Z5" s="22" t="inlineStr">
        <is>
          <t>Unid.</t>
        </is>
      </c>
      <c r="AA5" s="22" t="inlineStr">
        <is>
          <t>Quant.</t>
        </is>
      </c>
      <c r="AB5" s="22" t="inlineStr">
        <is>
          <t>Preço unit (r$) com tributos</t>
        </is>
      </c>
      <c r="AC5" s="22" t="inlineStr">
        <is>
          <t>Valor(R$)</t>
        </is>
      </c>
      <c r="AD5" s="22" t="inlineStr">
        <is>
          <t>PIS/COFINS</t>
        </is>
      </c>
      <c r="AE5" s="22" t="inlineStr">
        <is>
          <t>Base Calc ICMS (R$)</t>
        </is>
      </c>
      <c r="AF5" s="22" t="inlineStr">
        <is>
          <t>Alícota ICMS</t>
        </is>
      </c>
      <c r="AG5" s="22" t="inlineStr">
        <is>
          <t>ICMS</t>
        </is>
      </c>
      <c r="AH5" s="22" t="inlineStr">
        <is>
          <t>Tarifa unit (R$)</t>
        </is>
      </c>
      <c r="AI5" s="18" t="n"/>
    </row>
    <row r="6" ht="18" customHeight="1" s="235">
      <c r="C6" s="4" t="n">
        <v>45047</v>
      </c>
      <c r="D6" s="12" t="n">
        <v>1445</v>
      </c>
      <c r="E6" s="12" t="n">
        <v>0</v>
      </c>
      <c r="F6" s="12" t="n">
        <v>1445</v>
      </c>
      <c r="G6" s="9" t="n"/>
      <c r="H6" s="9" t="n"/>
      <c r="I6" s="356" t="n">
        <v>45108</v>
      </c>
      <c r="J6" s="7" t="inlineStr">
        <is>
          <t>A</t>
        </is>
      </c>
      <c r="K6" s="12" t="n">
        <v>2167</v>
      </c>
      <c r="L6" s="12" t="n">
        <v>0</v>
      </c>
      <c r="M6" s="12" t="n">
        <v>2041.92</v>
      </c>
      <c r="N6" s="12" t="n">
        <v>0</v>
      </c>
      <c r="O6" s="6">
        <f>Q6-M6</f>
        <v/>
      </c>
      <c r="P6" s="7" t="n"/>
      <c r="Q6" s="13">
        <f>M6</f>
        <v/>
      </c>
      <c r="R6" s="357" t="n">
        <v>507.8</v>
      </c>
      <c r="S6" s="13">
        <f>K6-M6</f>
        <v/>
      </c>
      <c r="Y6" s="23" t="inlineStr">
        <is>
          <t>energia ativa fornecia TE</t>
        </is>
      </c>
      <c r="Z6" s="2" t="inlineStr">
        <is>
          <t>kWh</t>
        </is>
      </c>
      <c r="AA6" s="2" t="n">
        <v>2167</v>
      </c>
      <c r="AB6" s="358" t="n">
        <v>0.39264</v>
      </c>
      <c r="AC6" s="358" t="n">
        <v>850.85</v>
      </c>
      <c r="AD6" s="358" t="n">
        <v>33.14</v>
      </c>
      <c r="AE6" s="358" t="n">
        <v>850.85</v>
      </c>
      <c r="AF6" s="21" t="n">
        <v>0.2</v>
      </c>
      <c r="AG6" s="358" t="n">
        <v>170.17</v>
      </c>
      <c r="AH6" s="358" t="n">
        <v>0.29882</v>
      </c>
    </row>
    <row r="7" ht="18" customHeight="1" s="235">
      <c r="C7" s="4" t="n">
        <v>45078</v>
      </c>
      <c r="D7" s="12" t="n">
        <v>11344</v>
      </c>
      <c r="E7" s="12" t="n">
        <v>11344</v>
      </c>
      <c r="F7" s="12" t="n">
        <v>1445</v>
      </c>
      <c r="R7" s="359" t="n"/>
      <c r="Y7" s="23" t="inlineStr">
        <is>
          <t>energia ativa fornecia TUSD</t>
        </is>
      </c>
      <c r="Z7" s="2" t="inlineStr">
        <is>
          <t>kWh</t>
        </is>
      </c>
      <c r="AA7" s="2" t="n">
        <v>2167</v>
      </c>
      <c r="AB7" s="358" t="n">
        <v>0.5845900000000001</v>
      </c>
      <c r="AC7" s="358" t="n">
        <v>1266.81</v>
      </c>
      <c r="AD7" s="358" t="n">
        <v>49.34</v>
      </c>
      <c r="AE7" s="358" t="n">
        <v>1266.81</v>
      </c>
      <c r="AF7" s="21" t="n">
        <v>0.2</v>
      </c>
      <c r="AG7" s="358" t="n">
        <v>253.36</v>
      </c>
      <c r="AH7" s="358" t="n">
        <v>0.44491</v>
      </c>
    </row>
    <row r="8" ht="18" customHeight="1" s="235">
      <c r="R8" s="359" t="n"/>
      <c r="Y8" s="23" t="inlineStr">
        <is>
          <t>energia ativa INJ TE UC 6/23</t>
        </is>
      </c>
      <c r="Z8" s="2" t="inlineStr">
        <is>
          <t>kWh</t>
        </is>
      </c>
      <c r="AA8" s="2" t="n">
        <v>2041</v>
      </c>
      <c r="AB8" s="358" t="n">
        <v>-0.39264</v>
      </c>
      <c r="AC8" s="358" t="n">
        <v>-801.73</v>
      </c>
      <c r="AD8" s="358" t="n">
        <v>-31.23</v>
      </c>
      <c r="AE8" s="358" t="n">
        <v>-801.73</v>
      </c>
      <c r="AF8" s="21" t="n">
        <v>0.2</v>
      </c>
      <c r="AG8" s="358" t="n">
        <v>-160.34</v>
      </c>
      <c r="AH8" s="358" t="n">
        <v>0.29882</v>
      </c>
    </row>
    <row r="9" ht="18" customHeight="1" s="235">
      <c r="R9" s="359" t="n"/>
      <c r="Y9" s="23" t="inlineStr">
        <is>
          <t>energia ativa INJ TUSD UC 6/23</t>
        </is>
      </c>
      <c r="Z9" s="2" t="inlineStr">
        <is>
          <t>kWh</t>
        </is>
      </c>
      <c r="AA9" s="2" t="n">
        <v>2041</v>
      </c>
      <c r="AB9" s="358" t="n">
        <v>-0.46769</v>
      </c>
      <c r="AC9" s="358" t="n">
        <v>-954.98</v>
      </c>
      <c r="AD9" s="358" t="n">
        <v>-46.51</v>
      </c>
      <c r="AE9" s="358" t="n">
        <v>0</v>
      </c>
      <c r="AF9" s="21" t="n">
        <v>0</v>
      </c>
      <c r="AG9" s="358" t="n">
        <v>0</v>
      </c>
      <c r="AH9" s="358" t="n">
        <v>0.44491</v>
      </c>
    </row>
    <row r="10" ht="18" customHeight="1" s="235">
      <c r="J10" s="310" t="n"/>
      <c r="K10" s="10" t="inlineStr">
        <is>
          <t>consumo</t>
        </is>
      </c>
      <c r="L10" s="11" t="inlineStr">
        <is>
          <t>energia inj</t>
        </is>
      </c>
      <c r="M10" s="11" t="inlineStr">
        <is>
          <t>saldo utilizado</t>
        </is>
      </c>
      <c r="N10" s="11" t="inlineStr">
        <is>
          <t>saldo atualizado</t>
        </is>
      </c>
      <c r="O10" s="11" t="inlineStr">
        <is>
          <t>geraçao de credito</t>
        </is>
      </c>
      <c r="P10" s="11" t="inlineStr">
        <is>
          <t>cred a expirar prox mês</t>
        </is>
      </c>
      <c r="Q10" s="16" t="inlineStr">
        <is>
          <t>energia gerada</t>
        </is>
      </c>
      <c r="R10" s="359" t="n"/>
      <c r="Y10" s="23" t="inlineStr">
        <is>
          <t>CIP ILUM MUNICIPAL</t>
        </is>
      </c>
      <c r="Z10" s="2" t="n"/>
      <c r="AA10" s="2" t="n"/>
      <c r="AB10" s="358" t="n"/>
      <c r="AC10" s="358" t="n">
        <v>146.85</v>
      </c>
      <c r="AD10" s="358" t="n">
        <v>0</v>
      </c>
      <c r="AE10" s="358" t="n">
        <v>0</v>
      </c>
      <c r="AF10" s="21" t="n">
        <v>0</v>
      </c>
      <c r="AG10" s="358" t="n">
        <v>0</v>
      </c>
      <c r="AH10" s="358" t="n"/>
    </row>
    <row r="11" ht="18" customHeight="1" s="235">
      <c r="I11" s="356" t="n">
        <v>45108</v>
      </c>
      <c r="J11" s="7" t="inlineStr">
        <is>
          <t>B</t>
        </is>
      </c>
      <c r="K11" s="12" t="n">
        <v>2415</v>
      </c>
      <c r="L11" s="12" t="n">
        <v>0</v>
      </c>
      <c r="M11" s="12" t="n">
        <v>2315</v>
      </c>
      <c r="N11" s="12" t="n">
        <v>180.68</v>
      </c>
      <c r="O11" s="6">
        <f>Q11-M11</f>
        <v/>
      </c>
      <c r="P11" s="7" t="n"/>
      <c r="Q11" s="13">
        <f>M11</f>
        <v/>
      </c>
      <c r="R11" s="357" t="n">
        <v>515.23</v>
      </c>
      <c r="S11" s="13">
        <f>K11-M11</f>
        <v/>
      </c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</row>
    <row r="12" ht="18" customHeight="1" s="235">
      <c r="R12" s="359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</row>
    <row r="13" ht="18" customHeight="1" s="235">
      <c r="R13" s="359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</row>
    <row r="14" ht="18" customHeight="1" s="235">
      <c r="R14" s="359" t="n"/>
      <c r="Y14" s="18" t="inlineStr">
        <is>
          <t>TORRE B</t>
        </is>
      </c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</row>
    <row r="15" ht="55.5" customHeight="1" s="235">
      <c r="R15" s="359" t="n"/>
      <c r="Y15" s="22" t="inlineStr">
        <is>
          <t>Itens de Fatura</t>
        </is>
      </c>
      <c r="Z15" s="22" t="inlineStr">
        <is>
          <t>Unid.</t>
        </is>
      </c>
      <c r="AA15" s="22" t="inlineStr">
        <is>
          <t>Quant.</t>
        </is>
      </c>
      <c r="AB15" s="22" t="inlineStr">
        <is>
          <t>Preço unit (r$) com tributos</t>
        </is>
      </c>
      <c r="AC15" s="22" t="inlineStr">
        <is>
          <t>Valor(R$)</t>
        </is>
      </c>
      <c r="AD15" s="22" t="inlineStr">
        <is>
          <t>PIS/COFINS</t>
        </is>
      </c>
      <c r="AE15" s="22" t="inlineStr">
        <is>
          <t>Base Calc ICMS (R$)</t>
        </is>
      </c>
      <c r="AF15" s="22" t="inlineStr">
        <is>
          <t>Alícota ICMS</t>
        </is>
      </c>
      <c r="AG15" s="22" t="inlineStr">
        <is>
          <t>ICMS</t>
        </is>
      </c>
      <c r="AH15" s="22" t="inlineStr">
        <is>
          <t>Tarifa unit (R$)</t>
        </is>
      </c>
    </row>
    <row r="16" ht="18" customHeight="1" s="235">
      <c r="R16" s="359" t="n"/>
      <c r="Y16" s="23" t="inlineStr">
        <is>
          <t>energia ativa fornecia TE</t>
        </is>
      </c>
      <c r="Z16" s="2" t="inlineStr">
        <is>
          <t>kWh</t>
        </is>
      </c>
      <c r="AA16" s="20" t="n">
        <v>2415</v>
      </c>
      <c r="AB16" s="358" t="n">
        <v>0.39264</v>
      </c>
      <c r="AC16" s="358" t="n">
        <v>948.22</v>
      </c>
      <c r="AD16" s="358" t="n">
        <v>36.93</v>
      </c>
      <c r="AE16" s="358" t="n">
        <v>948.22</v>
      </c>
      <c r="AF16" s="21" t="n">
        <v>0.2</v>
      </c>
      <c r="AG16" s="358" t="n">
        <v>189.64</v>
      </c>
      <c r="AH16" s="358" t="n">
        <v>0.29882</v>
      </c>
      <c r="AJ16" s="327">
        <f>AG6+AG16+AG26</f>
        <v/>
      </c>
    </row>
    <row r="17" ht="18" customHeight="1" s="235">
      <c r="K17" s="10" t="inlineStr">
        <is>
          <t>consumo</t>
        </is>
      </c>
      <c r="L17" s="11" t="inlineStr">
        <is>
          <t>energia inj</t>
        </is>
      </c>
      <c r="M17" s="11" t="inlineStr">
        <is>
          <t>saldo utilizado</t>
        </is>
      </c>
      <c r="N17" s="11" t="inlineStr">
        <is>
          <t>saldo atualizado</t>
        </is>
      </c>
      <c r="O17" s="11" t="inlineStr">
        <is>
          <t>geraçao de credito</t>
        </is>
      </c>
      <c r="P17" s="11" t="inlineStr">
        <is>
          <t>cred a expirar prox mês</t>
        </is>
      </c>
      <c r="Q17" s="16" t="inlineStr">
        <is>
          <t>energia gerada</t>
        </is>
      </c>
      <c r="R17" s="359" t="n"/>
      <c r="Y17" s="23" t="inlineStr">
        <is>
          <t>energia ativa fornecia TUSD</t>
        </is>
      </c>
      <c r="Z17" s="2" t="inlineStr">
        <is>
          <t>kWh</t>
        </is>
      </c>
      <c r="AA17" s="20" t="n">
        <v>2415</v>
      </c>
      <c r="AB17" s="358" t="n">
        <v>0.5846</v>
      </c>
      <c r="AC17" s="358" t="n">
        <v>1411.8</v>
      </c>
      <c r="AD17" s="358" t="n">
        <v>54.99</v>
      </c>
      <c r="AE17" s="358" t="n">
        <v>1411.8</v>
      </c>
      <c r="AF17" s="21" t="n">
        <v>0.2</v>
      </c>
      <c r="AG17" s="358" t="n">
        <v>282.36</v>
      </c>
      <c r="AH17" s="358" t="n">
        <v>0.44491</v>
      </c>
    </row>
    <row r="18" ht="18" customHeight="1" s="235">
      <c r="I18" s="356" t="n">
        <v>45108</v>
      </c>
      <c r="J18" s="7" t="inlineStr">
        <is>
          <t>C</t>
        </is>
      </c>
      <c r="K18" s="12" t="n">
        <v>8383</v>
      </c>
      <c r="L18" s="12" t="n">
        <v>0</v>
      </c>
      <c r="M18" s="12" t="n">
        <v>6806.4</v>
      </c>
      <c r="N18" s="12" t="n">
        <v>0</v>
      </c>
      <c r="O18" s="6">
        <f>Q18-M18</f>
        <v/>
      </c>
      <c r="P18" s="7" t="n"/>
      <c r="Q18" s="13">
        <f>M18</f>
        <v/>
      </c>
      <c r="R18" s="357" t="n">
        <v>2483.37</v>
      </c>
      <c r="S18" s="13">
        <f>K18-M18</f>
        <v/>
      </c>
      <c r="Y18" s="23" t="inlineStr">
        <is>
          <t>energia ativa INJ TE UC 6/23</t>
        </is>
      </c>
      <c r="Z18" s="2" t="inlineStr">
        <is>
          <t>kWh</t>
        </is>
      </c>
      <c r="AA18" s="20" t="n">
        <v>2315</v>
      </c>
      <c r="AB18" s="358" t="n">
        <v>-0.39263</v>
      </c>
      <c r="AC18" s="358" t="n">
        <v>-908.95</v>
      </c>
      <c r="AD18" s="358" t="n">
        <v>-35.4</v>
      </c>
      <c r="AE18" s="358" t="n">
        <v>-908.95</v>
      </c>
      <c r="AF18" s="21" t="n">
        <v>0.2</v>
      </c>
      <c r="AG18" s="358" t="n">
        <v>-181.79</v>
      </c>
      <c r="AH18" s="358" t="n">
        <v>0.29882</v>
      </c>
    </row>
    <row r="19" ht="18" customHeight="1" s="235">
      <c r="J19" s="310" t="n"/>
      <c r="Y19" s="23" t="inlineStr">
        <is>
          <t>energia ativa INJ TUSD UC 6/23</t>
        </is>
      </c>
      <c r="Z19" s="2" t="inlineStr">
        <is>
          <t>kWh</t>
        </is>
      </c>
      <c r="AA19" s="20" t="n">
        <v>2315</v>
      </c>
      <c r="AB19" s="358" t="n">
        <v>-0.46768</v>
      </c>
      <c r="AC19" s="358" t="n">
        <v>-1082.69</v>
      </c>
      <c r="AD19" s="358" t="n">
        <v>-52.73</v>
      </c>
      <c r="AE19" s="358" t="n">
        <v>0</v>
      </c>
      <c r="AF19" s="21" t="n">
        <v>0</v>
      </c>
      <c r="AG19" s="358" t="n">
        <v>0</v>
      </c>
      <c r="AH19" s="358" t="n">
        <v>0.44491</v>
      </c>
    </row>
    <row r="20" ht="18" customHeight="1" s="235">
      <c r="Y20" s="23" t="inlineStr">
        <is>
          <t>CIP ILUM MUNICIPAL</t>
        </is>
      </c>
      <c r="Z20" s="2" t="n"/>
      <c r="AA20" s="2" t="n"/>
      <c r="AB20" s="358" t="n"/>
      <c r="AC20" s="358" t="n">
        <v>146.85</v>
      </c>
      <c r="AD20" s="358" t="n">
        <v>0</v>
      </c>
      <c r="AE20" s="358" t="n">
        <v>0</v>
      </c>
      <c r="AF20" s="21" t="n">
        <v>0</v>
      </c>
      <c r="AG20" s="358" t="n">
        <v>0</v>
      </c>
      <c r="AH20" s="358" t="n"/>
    </row>
    <row r="21" ht="18" customHeight="1" s="235"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</row>
    <row r="22"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</row>
    <row r="23"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</row>
    <row r="24">
      <c r="K24" s="15">
        <f>K6+K11+K18</f>
        <v/>
      </c>
      <c r="L24" s="13">
        <f>L6+L11+L18</f>
        <v/>
      </c>
      <c r="M24" s="15">
        <f>M6+M11+M18</f>
        <v/>
      </c>
      <c r="N24" s="15">
        <f>N6+N11+N18</f>
        <v/>
      </c>
      <c r="O24" s="15">
        <f>O6+O11+O18</f>
        <v/>
      </c>
      <c r="P24" s="14" t="n"/>
      <c r="S24" s="8">
        <f>K24-M24</f>
        <v/>
      </c>
      <c r="Y24" s="18" t="inlineStr">
        <is>
          <t>TORRE C</t>
        </is>
      </c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</row>
    <row r="25" ht="43.15" customHeight="1" s="235">
      <c r="Y25" s="22" t="inlineStr">
        <is>
          <t>Itens de Fatura</t>
        </is>
      </c>
      <c r="Z25" s="22" t="inlineStr">
        <is>
          <t>Unid.</t>
        </is>
      </c>
      <c r="AA25" s="22" t="inlineStr">
        <is>
          <t>Quant.</t>
        </is>
      </c>
      <c r="AB25" s="22" t="inlineStr">
        <is>
          <t>Preço unit (r$) com tributos</t>
        </is>
      </c>
      <c r="AC25" s="22" t="inlineStr">
        <is>
          <t>Valor(R$)</t>
        </is>
      </c>
      <c r="AD25" s="22" t="inlineStr">
        <is>
          <t>PIS/COFINS</t>
        </is>
      </c>
      <c r="AE25" s="22" t="inlineStr">
        <is>
          <t>Base Calc ICMS (R$)</t>
        </is>
      </c>
      <c r="AF25" s="22" t="inlineStr">
        <is>
          <t>Alícota ICMS</t>
        </is>
      </c>
      <c r="AG25" s="22" t="inlineStr">
        <is>
          <t>ICMS</t>
        </is>
      </c>
      <c r="AH25" s="22" t="inlineStr">
        <is>
          <t>Tarifa unit (R$)</t>
        </is>
      </c>
    </row>
    <row r="26">
      <c r="Y26" s="23" t="inlineStr">
        <is>
          <t>energia ativa fornecia TE</t>
        </is>
      </c>
      <c r="Z26" s="2" t="inlineStr">
        <is>
          <t>kWh</t>
        </is>
      </c>
      <c r="AA26" s="20" t="n">
        <v>8383</v>
      </c>
      <c r="AB26" s="358" t="n">
        <v>0.39264</v>
      </c>
      <c r="AC26" s="358" t="n">
        <v>3291.52</v>
      </c>
      <c r="AD26" s="358" t="n">
        <v>128.22</v>
      </c>
      <c r="AE26" s="358" t="n">
        <v>3291.52</v>
      </c>
      <c r="AF26" s="21" t="n">
        <v>0.2</v>
      </c>
      <c r="AG26" s="358" t="n">
        <v>658.3</v>
      </c>
      <c r="AH26" s="358" t="n">
        <v>0.29882</v>
      </c>
      <c r="AI26" s="327">
        <f>AG26+AD26</f>
        <v/>
      </c>
      <c r="AJ26" s="29">
        <f>1-(AH26/AB26)</f>
        <v/>
      </c>
      <c r="AK26">
        <f>0.09*AA26</f>
        <v/>
      </c>
    </row>
    <row r="27">
      <c r="Y27" s="23" t="inlineStr">
        <is>
          <t>energia ativa fornecia TUSD</t>
        </is>
      </c>
      <c r="Z27" s="2" t="inlineStr">
        <is>
          <t>kWh</t>
        </is>
      </c>
      <c r="AA27" s="20" t="n">
        <v>8383</v>
      </c>
      <c r="AB27" s="358" t="n">
        <v>0.58461</v>
      </c>
      <c r="AC27" s="358" t="n">
        <v>4900.75</v>
      </c>
      <c r="AD27" s="358" t="n">
        <v>190.92</v>
      </c>
      <c r="AE27" s="358" t="n">
        <v>4900.75</v>
      </c>
      <c r="AF27" s="21" t="n">
        <v>0.2</v>
      </c>
      <c r="AG27" s="358" t="n">
        <v>980.15</v>
      </c>
      <c r="AH27" s="358" t="n">
        <v>0.44491</v>
      </c>
    </row>
    <row r="28">
      <c r="Y28" s="23" t="inlineStr">
        <is>
          <t>energia ativa INJ TE UC 6/23</t>
        </is>
      </c>
      <c r="Z28" s="2" t="inlineStr">
        <is>
          <t>kWh</t>
        </is>
      </c>
      <c r="AA28" s="20" t="n">
        <v>6806</v>
      </c>
      <c r="AB28" s="358" t="n">
        <v>-0.39265</v>
      </c>
      <c r="AC28" s="358" t="n">
        <v>-2672.5</v>
      </c>
      <c r="AD28" s="358" t="n">
        <v>-104.12</v>
      </c>
      <c r="AE28" s="358" t="n">
        <v>-2672.5</v>
      </c>
      <c r="AF28" s="21" t="n">
        <v>0.2</v>
      </c>
      <c r="AG28" s="358" t="n">
        <v>-534.5</v>
      </c>
      <c r="AH28" s="358" t="n">
        <v>0.29882</v>
      </c>
    </row>
    <row r="29">
      <c r="Y29" s="23" t="inlineStr">
        <is>
          <t>energia ativa INJ TUSD UC 6/23</t>
        </is>
      </c>
      <c r="Z29" s="2" t="inlineStr">
        <is>
          <t>kWh</t>
        </is>
      </c>
      <c r="AA29" s="20" t="n">
        <v>6806</v>
      </c>
      <c r="AB29" s="358" t="n">
        <v>-0.46768</v>
      </c>
      <c r="AC29" s="358" t="n">
        <v>-3183.25</v>
      </c>
      <c r="AD29" s="358" t="n">
        <v>-155.02</v>
      </c>
      <c r="AE29" s="358" t="n">
        <v>0</v>
      </c>
      <c r="AF29" s="21" t="n">
        <v>0</v>
      </c>
      <c r="AG29" s="358" t="n">
        <v>0</v>
      </c>
      <c r="AH29" s="358" t="n">
        <v>0.44491</v>
      </c>
    </row>
    <row r="30">
      <c r="Y30" s="23" t="inlineStr">
        <is>
          <t>CIP ILUM MUNICIPAL</t>
        </is>
      </c>
      <c r="Z30" s="2" t="n"/>
      <c r="AA30" s="2" t="n"/>
      <c r="AB30" s="358" t="n"/>
      <c r="AC30" s="358" t="n">
        <v>146.85</v>
      </c>
      <c r="AD30" s="358" t="n">
        <v>0</v>
      </c>
      <c r="AE30" s="358" t="n">
        <v>0</v>
      </c>
      <c r="AF30" s="21" t="n">
        <v>0</v>
      </c>
      <c r="AG30" s="358" t="n">
        <v>0</v>
      </c>
      <c r="AH30" s="358" t="n"/>
    </row>
    <row r="34" ht="43.15" customHeight="1" s="235">
      <c r="X34" s="22" t="inlineStr">
        <is>
          <t>TORRE</t>
        </is>
      </c>
      <c r="Y34" s="22" t="inlineStr">
        <is>
          <t>Itens de Fatura</t>
        </is>
      </c>
      <c r="Z34" s="22" t="inlineStr">
        <is>
          <t>Unid.</t>
        </is>
      </c>
      <c r="AA34" s="22" t="inlineStr">
        <is>
          <t>Quant.</t>
        </is>
      </c>
      <c r="AB34" s="22" t="inlineStr">
        <is>
          <t>Preço unit (r$) com tributos</t>
        </is>
      </c>
      <c r="AC34" s="22" t="inlineStr">
        <is>
          <t>Valor(R$)</t>
        </is>
      </c>
      <c r="AD34" s="22" t="inlineStr">
        <is>
          <t>PIS/COFINS</t>
        </is>
      </c>
      <c r="AE34" s="22" t="inlineStr">
        <is>
          <t>Base Calc ICMS (R$)</t>
        </is>
      </c>
      <c r="AF34" s="22" t="inlineStr">
        <is>
          <t>Alícota ICMS</t>
        </is>
      </c>
      <c r="AG34" s="22" t="inlineStr">
        <is>
          <t>ICMS</t>
        </is>
      </c>
      <c r="AH34" s="22" t="inlineStr">
        <is>
          <t>Tarifa unit (R$)</t>
        </is>
      </c>
    </row>
    <row r="35">
      <c r="X35" s="30" t="inlineStr">
        <is>
          <t>A</t>
        </is>
      </c>
      <c r="Y35" s="24" t="inlineStr">
        <is>
          <t>energia ativa fornecia TE</t>
        </is>
      </c>
      <c r="Z35" s="2" t="inlineStr">
        <is>
          <t>kWh</t>
        </is>
      </c>
      <c r="AA35" s="2" t="n">
        <v>2167</v>
      </c>
      <c r="AB35" s="358" t="n">
        <v>0.39264</v>
      </c>
      <c r="AC35" s="358" t="n">
        <v>850.85</v>
      </c>
      <c r="AD35" s="358" t="n">
        <v>33.14</v>
      </c>
      <c r="AE35" s="358" t="n">
        <v>850.85</v>
      </c>
      <c r="AF35" s="21" t="n">
        <v>0.2</v>
      </c>
      <c r="AG35" s="358" t="n">
        <v>170.17</v>
      </c>
      <c r="AH35" s="358" t="n">
        <v>0.29882</v>
      </c>
    </row>
    <row r="36">
      <c r="X36" s="30" t="inlineStr">
        <is>
          <t>B</t>
        </is>
      </c>
      <c r="Y36" s="24" t="inlineStr">
        <is>
          <t>energia ativa fornecia TE</t>
        </is>
      </c>
      <c r="Z36" s="2" t="inlineStr">
        <is>
          <t>kWh</t>
        </is>
      </c>
      <c r="AA36" s="20" t="n">
        <v>2415</v>
      </c>
      <c r="AB36" s="358" t="n">
        <v>0.39264</v>
      </c>
      <c r="AC36" s="358" t="n">
        <v>948.22</v>
      </c>
      <c r="AD36" s="358" t="n">
        <v>36.93</v>
      </c>
      <c r="AE36" s="358" t="n">
        <v>948.22</v>
      </c>
      <c r="AF36" s="21" t="n">
        <v>0.2</v>
      </c>
      <c r="AG36" s="358" t="n">
        <v>189.64</v>
      </c>
      <c r="AH36" s="358" t="n">
        <v>0.29882</v>
      </c>
    </row>
    <row r="37">
      <c r="X37" s="30" t="inlineStr">
        <is>
          <t>C</t>
        </is>
      </c>
      <c r="Y37" s="24" t="inlineStr">
        <is>
          <t>energia ativa fornecia TE</t>
        </is>
      </c>
      <c r="Z37" s="2" t="inlineStr">
        <is>
          <t>kWh</t>
        </is>
      </c>
      <c r="AA37" s="20" t="n">
        <v>8383</v>
      </c>
      <c r="AB37" s="358" t="n">
        <v>0.39264</v>
      </c>
      <c r="AC37" s="358" t="n">
        <v>3291.52</v>
      </c>
      <c r="AD37" s="358" t="n">
        <v>128.22</v>
      </c>
      <c r="AE37" s="358" t="n">
        <v>3291.52</v>
      </c>
      <c r="AF37" s="21" t="n">
        <v>0.2</v>
      </c>
      <c r="AG37" s="358" t="n">
        <v>658.3</v>
      </c>
      <c r="AH37" s="358" t="n">
        <v>0.29882</v>
      </c>
    </row>
    <row r="38">
      <c r="X38" s="30" t="inlineStr">
        <is>
          <t>A</t>
        </is>
      </c>
      <c r="Y38" s="25" t="inlineStr">
        <is>
          <t>energia ativa fornecia TUSD</t>
        </is>
      </c>
      <c r="Z38" s="2" t="inlineStr">
        <is>
          <t>kWh</t>
        </is>
      </c>
      <c r="AA38" s="2" t="n">
        <v>2167</v>
      </c>
      <c r="AB38" s="358" t="n">
        <v>0.5845900000000001</v>
      </c>
      <c r="AC38" s="358" t="n">
        <v>1266.81</v>
      </c>
      <c r="AD38" s="358" t="n">
        <v>49.34</v>
      </c>
      <c r="AE38" s="358" t="n">
        <v>1266.81</v>
      </c>
      <c r="AF38" s="21" t="n">
        <v>0.2</v>
      </c>
      <c r="AG38" s="358" t="n">
        <v>253.36</v>
      </c>
      <c r="AH38" s="358" t="n">
        <v>0.44491</v>
      </c>
    </row>
    <row r="39">
      <c r="X39" s="30" t="inlineStr">
        <is>
          <t>B</t>
        </is>
      </c>
      <c r="Y39" s="25" t="inlineStr">
        <is>
          <t>energia ativa fornecia TUSD</t>
        </is>
      </c>
      <c r="Z39" s="2" t="inlineStr">
        <is>
          <t>kWh</t>
        </is>
      </c>
      <c r="AA39" s="20" t="n">
        <v>2415</v>
      </c>
      <c r="AB39" s="358" t="n">
        <v>0.5846</v>
      </c>
      <c r="AC39" s="358" t="n">
        <v>1411.8</v>
      </c>
      <c r="AD39" s="358" t="n">
        <v>54.99</v>
      </c>
      <c r="AE39" s="358" t="n">
        <v>1411.8</v>
      </c>
      <c r="AF39" s="21" t="n">
        <v>0.2</v>
      </c>
      <c r="AG39" s="358" t="n">
        <v>282.36</v>
      </c>
      <c r="AH39" s="358" t="n">
        <v>0.44491</v>
      </c>
    </row>
    <row r="40">
      <c r="X40" s="30" t="inlineStr">
        <is>
          <t>C</t>
        </is>
      </c>
      <c r="Y40" s="25" t="inlineStr">
        <is>
          <t>energia ativa fornecia TUSD</t>
        </is>
      </c>
      <c r="Z40" s="2" t="inlineStr">
        <is>
          <t>kWh</t>
        </is>
      </c>
      <c r="AA40" s="20" t="n">
        <v>8383</v>
      </c>
      <c r="AB40" s="358" t="n">
        <v>0.58461</v>
      </c>
      <c r="AC40" s="358" t="n">
        <v>4900.75</v>
      </c>
      <c r="AD40" s="358" t="n">
        <v>190.92</v>
      </c>
      <c r="AE40" s="358" t="n">
        <v>4900.75</v>
      </c>
      <c r="AF40" s="21" t="n">
        <v>0.2</v>
      </c>
      <c r="AG40" s="358" t="n">
        <v>980.15</v>
      </c>
      <c r="AH40" s="358" t="n">
        <v>0.44491</v>
      </c>
    </row>
    <row r="41">
      <c r="X41" s="30" t="inlineStr">
        <is>
          <t>A</t>
        </is>
      </c>
      <c r="Y41" s="26" t="inlineStr">
        <is>
          <t>energia ativa INJ TE UC 6/23</t>
        </is>
      </c>
      <c r="Z41" s="2" t="inlineStr">
        <is>
          <t>kWh</t>
        </is>
      </c>
      <c r="AA41" s="2" t="n">
        <v>2041</v>
      </c>
      <c r="AB41" s="358" t="n">
        <v>-0.39264</v>
      </c>
      <c r="AC41" s="358" t="n">
        <v>-801.73</v>
      </c>
      <c r="AD41" s="358" t="n">
        <v>-31.23</v>
      </c>
      <c r="AE41" s="358" t="n">
        <v>-801.73</v>
      </c>
      <c r="AF41" s="21" t="n">
        <v>0.2</v>
      </c>
      <c r="AG41" s="358" t="n">
        <v>-160.34</v>
      </c>
      <c r="AH41" s="358" t="n">
        <v>0.29882</v>
      </c>
    </row>
    <row r="42">
      <c r="X42" s="30" t="inlineStr">
        <is>
          <t>B</t>
        </is>
      </c>
      <c r="Y42" s="26" t="inlineStr">
        <is>
          <t>energia ativa INJ TE UC 6/23</t>
        </is>
      </c>
      <c r="Z42" s="2" t="inlineStr">
        <is>
          <t>kWh</t>
        </is>
      </c>
      <c r="AA42" s="20" t="n">
        <v>2315</v>
      </c>
      <c r="AB42" s="358" t="n">
        <v>-0.39263</v>
      </c>
      <c r="AC42" s="358" t="n">
        <v>-908.95</v>
      </c>
      <c r="AD42" s="358" t="n">
        <v>-35.4</v>
      </c>
      <c r="AE42" s="358" t="n">
        <v>-908.95</v>
      </c>
      <c r="AF42" s="21" t="n">
        <v>0.2</v>
      </c>
      <c r="AG42" s="358" t="n">
        <v>-181.79</v>
      </c>
      <c r="AH42" s="358" t="n">
        <v>0.29882</v>
      </c>
    </row>
    <row r="43">
      <c r="X43" s="30" t="inlineStr">
        <is>
          <t>C</t>
        </is>
      </c>
      <c r="Y43" s="26" t="inlineStr">
        <is>
          <t>energia ativa INJ TE UC 6/23</t>
        </is>
      </c>
      <c r="Z43" s="2" t="inlineStr">
        <is>
          <t>kWh</t>
        </is>
      </c>
      <c r="AA43" s="20" t="n">
        <v>6806</v>
      </c>
      <c r="AB43" s="358" t="n">
        <v>-0.39265</v>
      </c>
      <c r="AC43" s="358" t="n">
        <v>-2672.5</v>
      </c>
      <c r="AD43" s="358" t="n">
        <v>-104.12</v>
      </c>
      <c r="AE43" s="358" t="n">
        <v>-2672.5</v>
      </c>
      <c r="AF43" s="21" t="n">
        <v>0.2</v>
      </c>
      <c r="AG43" s="358" t="n">
        <v>-534.5</v>
      </c>
      <c r="AH43" s="358" t="n">
        <v>0.29882</v>
      </c>
    </row>
    <row r="44">
      <c r="X44" s="30" t="inlineStr">
        <is>
          <t>A</t>
        </is>
      </c>
      <c r="Y44" s="27" t="inlineStr">
        <is>
          <t>energia ativa INJ TUSD UC 6/23</t>
        </is>
      </c>
      <c r="Z44" s="2" t="inlineStr">
        <is>
          <t>kWh</t>
        </is>
      </c>
      <c r="AA44" s="2" t="n">
        <v>2041</v>
      </c>
      <c r="AB44" s="358" t="n">
        <v>-0.46769</v>
      </c>
      <c r="AC44" s="358" t="n">
        <v>-954.98</v>
      </c>
      <c r="AD44" s="358" t="n">
        <v>-46.51</v>
      </c>
      <c r="AE44" s="358" t="n">
        <v>0</v>
      </c>
      <c r="AF44" s="21" t="n">
        <v>0</v>
      </c>
      <c r="AG44" s="358" t="n">
        <v>0</v>
      </c>
      <c r="AH44" s="358" t="n">
        <v>0.44491</v>
      </c>
    </row>
    <row r="45">
      <c r="X45" s="30" t="inlineStr">
        <is>
          <t>B</t>
        </is>
      </c>
      <c r="Y45" s="27" t="inlineStr">
        <is>
          <t>energia ativa INJ TUSD UC 6/23</t>
        </is>
      </c>
      <c r="Z45" s="2" t="inlineStr">
        <is>
          <t>kWh</t>
        </is>
      </c>
      <c r="AA45" s="20" t="n">
        <v>2315</v>
      </c>
      <c r="AB45" s="358" t="n">
        <v>-0.46768</v>
      </c>
      <c r="AC45" s="358" t="n">
        <v>-1082.69</v>
      </c>
      <c r="AD45" s="358" t="n">
        <v>-52.73</v>
      </c>
      <c r="AE45" s="358" t="n">
        <v>0</v>
      </c>
      <c r="AF45" s="21" t="n">
        <v>0</v>
      </c>
      <c r="AG45" s="358" t="n">
        <v>0</v>
      </c>
      <c r="AH45" s="358" t="n">
        <v>0.44491</v>
      </c>
    </row>
    <row r="46">
      <c r="X46" s="30" t="inlineStr">
        <is>
          <t>C</t>
        </is>
      </c>
      <c r="Y46" s="27" t="inlineStr">
        <is>
          <t>energia ativa INJ TUSD UC 6/23</t>
        </is>
      </c>
      <c r="Z46" s="2" t="inlineStr">
        <is>
          <t>kWh</t>
        </is>
      </c>
      <c r="AA46" s="20" t="n">
        <v>6806</v>
      </c>
      <c r="AB46" s="358" t="n">
        <v>-0.46768</v>
      </c>
      <c r="AC46" s="358" t="n">
        <v>-3183.25</v>
      </c>
      <c r="AD46" s="358" t="n">
        <v>-155.02</v>
      </c>
      <c r="AE46" s="358" t="n">
        <v>0</v>
      </c>
      <c r="AF46" s="21" t="n">
        <v>0</v>
      </c>
      <c r="AG46" s="358" t="n">
        <v>0</v>
      </c>
      <c r="AH46" s="358" t="n">
        <v>0.44491</v>
      </c>
    </row>
    <row r="53">
      <c r="Y53" s="24" t="inlineStr">
        <is>
          <t>energia ativa fornecia TE</t>
        </is>
      </c>
      <c r="Z53" s="2" t="inlineStr">
        <is>
          <t>kWh</t>
        </is>
      </c>
      <c r="AA53" s="17">
        <f>AA35+AA36+AA37</f>
        <v/>
      </c>
      <c r="AB53" s="358" t="n">
        <v>0.39264</v>
      </c>
      <c r="AC53" s="327">
        <f>AA53*AB53</f>
        <v/>
      </c>
      <c r="AH53" s="358" t="n">
        <v>0.29882</v>
      </c>
      <c r="AI53" s="327">
        <f>AB53-AH53</f>
        <v/>
      </c>
    </row>
    <row r="54">
      <c r="Y54" s="25" t="inlineStr">
        <is>
          <t>energia ativa fornecia TUSD</t>
        </is>
      </c>
      <c r="Z54" s="2" t="inlineStr">
        <is>
          <t>kWh</t>
        </is>
      </c>
      <c r="AA54" s="17">
        <f>AA38+AA39+AA40</f>
        <v/>
      </c>
      <c r="AB54" s="358" t="n">
        <v>0.5845900000000001</v>
      </c>
      <c r="AC54" s="327">
        <f>AA54*AB54</f>
        <v/>
      </c>
      <c r="AH54" s="358" t="n">
        <v>0.44491</v>
      </c>
      <c r="AI54" s="327">
        <f>AB54-AH54</f>
        <v/>
      </c>
    </row>
    <row r="55">
      <c r="Y55" s="26" t="inlineStr">
        <is>
          <t>energia ativa INJ TE UC 6/23</t>
        </is>
      </c>
      <c r="Z55" s="2" t="inlineStr">
        <is>
          <t>kWh</t>
        </is>
      </c>
      <c r="AA55" s="17">
        <f>AA41+AA42+AA43</f>
        <v/>
      </c>
      <c r="AB55" s="358" t="n">
        <v>-0.39264</v>
      </c>
      <c r="AC55" s="327">
        <f>AA55*AB55</f>
        <v/>
      </c>
      <c r="AH55" s="358" t="n">
        <v>0.29882</v>
      </c>
      <c r="AI55" s="327" t="n"/>
    </row>
    <row r="56">
      <c r="Y56" s="27" t="inlineStr">
        <is>
          <t>energia ativa INJ TUSD UC 6/23</t>
        </is>
      </c>
      <c r="Z56" s="2" t="inlineStr">
        <is>
          <t>kWh</t>
        </is>
      </c>
      <c r="AA56" s="17">
        <f>AA44+AA45+AA46</f>
        <v/>
      </c>
      <c r="AB56" s="358" t="n">
        <v>-0.46769</v>
      </c>
      <c r="AC56" s="327">
        <f>AA56*AB56</f>
        <v/>
      </c>
      <c r="AH56" s="358" t="n">
        <v>0.44491</v>
      </c>
      <c r="AI56" s="327" t="n"/>
    </row>
    <row r="59">
      <c r="AA59" s="17">
        <f>AA55-AA54</f>
        <v/>
      </c>
    </row>
    <row r="64">
      <c r="Y64" t="inlineStr">
        <is>
          <t>VALOR DA CONTA</t>
        </is>
      </c>
      <c r="AB64" s="28" t="n">
        <v>0.2</v>
      </c>
    </row>
    <row r="65">
      <c r="Y65" s="24" t="inlineStr">
        <is>
          <t>energia ativa fornecia TE</t>
        </is>
      </c>
      <c r="Z65" s="2" t="inlineStr">
        <is>
          <t>kWh</t>
        </is>
      </c>
      <c r="AA65" s="17" t="n">
        <v>12965</v>
      </c>
      <c r="AB65" s="358">
        <f>AB53*(1-AB64)</f>
        <v/>
      </c>
      <c r="AC65" s="327">
        <f>AA65*AB65</f>
        <v/>
      </c>
      <c r="AD65" s="327">
        <f>AI53</f>
        <v/>
      </c>
      <c r="AE65" s="327">
        <f>AA65*AD65</f>
        <v/>
      </c>
    </row>
    <row r="66" ht="15" customHeight="1" s="235" thickBot="1">
      <c r="Y66" s="25" t="inlineStr">
        <is>
          <t>energia ativa fornecia TUSD</t>
        </is>
      </c>
      <c r="Z66" s="2" t="inlineStr">
        <is>
          <t>kWh</t>
        </is>
      </c>
      <c r="AA66" s="17" t="n">
        <v>12965</v>
      </c>
      <c r="AB66" s="358">
        <f>AB54*(1-AB65)</f>
        <v/>
      </c>
      <c r="AC66" s="360">
        <f>AA66*AB66</f>
        <v/>
      </c>
      <c r="AD66" s="327">
        <f>AI54</f>
        <v/>
      </c>
      <c r="AE66" s="361">
        <f>AA66*AD66</f>
        <v/>
      </c>
    </row>
    <row r="67">
      <c r="AC67" s="327">
        <f>AC65+AC66</f>
        <v/>
      </c>
      <c r="AE67" s="327">
        <f>AE65+AE66</f>
        <v/>
      </c>
    </row>
    <row r="68">
      <c r="Y68" s="23" t="inlineStr">
        <is>
          <t>CIP ILUM MUNICIPAL</t>
        </is>
      </c>
      <c r="AC68" s="327">
        <f>AC10+AC20+AC30</f>
        <v/>
      </c>
    </row>
    <row r="69">
      <c r="AC69" s="327">
        <f>AC67+AC68</f>
        <v/>
      </c>
    </row>
    <row r="73">
      <c r="AA73" t="inlineStr">
        <is>
          <t>TE SEM IMPOST.</t>
        </is>
      </c>
      <c r="AB73" s="358" t="n">
        <v>0.29882</v>
      </c>
    </row>
    <row r="74">
      <c r="AA74" t="inlineStr">
        <is>
          <t>TUSD SEM IMPOST.</t>
        </is>
      </c>
      <c r="AB74" s="358" t="n">
        <v>0.44491</v>
      </c>
    </row>
    <row r="75">
      <c r="Y75" t="inlineStr">
        <is>
          <t>VALOR DA CONTA</t>
        </is>
      </c>
      <c r="AB75" s="28" t="n">
        <v>0.2</v>
      </c>
      <c r="AD75" t="inlineStr">
        <is>
          <t>IMPOSTO</t>
        </is>
      </c>
    </row>
    <row r="76">
      <c r="Y76" s="24" t="inlineStr">
        <is>
          <t>energia ativa fornecia TE</t>
        </is>
      </c>
      <c r="Z76" s="2" t="inlineStr">
        <is>
          <t>kWh</t>
        </is>
      </c>
      <c r="AA76" s="19" t="n">
        <v>12965</v>
      </c>
      <c r="AB76" s="358">
        <f>AB73*(1-AB75)</f>
        <v/>
      </c>
      <c r="AC76" s="362">
        <f>AA76*AB76</f>
        <v/>
      </c>
      <c r="AD76" s="358">
        <f>AI53</f>
        <v/>
      </c>
      <c r="AE76" s="362">
        <f>AA76*AD76</f>
        <v/>
      </c>
      <c r="AF76" s="362">
        <f>AC76+AE76</f>
        <v/>
      </c>
    </row>
    <row r="77" ht="15" customHeight="1" s="235" thickBot="1">
      <c r="Y77" s="25" t="inlineStr">
        <is>
          <t>energia ativa fornecia TUSD</t>
        </is>
      </c>
      <c r="Z77" s="2" t="inlineStr">
        <is>
          <t>kWh</t>
        </is>
      </c>
      <c r="AA77" s="19" t="n">
        <v>12965</v>
      </c>
      <c r="AB77" s="358">
        <f>AB74*(1-AB75)</f>
        <v/>
      </c>
      <c r="AC77" s="363">
        <f>AA77*AB77</f>
        <v/>
      </c>
      <c r="AD77" s="358">
        <f>AI54</f>
        <v/>
      </c>
      <c r="AE77" s="363">
        <f>AA77*AD77</f>
        <v/>
      </c>
      <c r="AF77" s="363">
        <f>AC77+AE77</f>
        <v/>
      </c>
    </row>
    <row r="78">
      <c r="Y78" t="inlineStr">
        <is>
          <t>SALDO</t>
        </is>
      </c>
      <c r="AC78" s="327">
        <f>AC76+AC77</f>
        <v/>
      </c>
      <c r="AE78" s="327">
        <f>AE76+AE77</f>
        <v/>
      </c>
      <c r="AF78" s="327">
        <f>AF76+AF77</f>
        <v/>
      </c>
    </row>
    <row r="79">
      <c r="Y79" s="23" t="inlineStr">
        <is>
          <t>CIP ILUM MUNICIPAL</t>
        </is>
      </c>
      <c r="AF79" s="327">
        <f>AC68</f>
        <v/>
      </c>
    </row>
    <row r="80">
      <c r="AF80" s="327">
        <f>AF78+AF79</f>
        <v/>
      </c>
    </row>
  </sheetData>
  <autoFilter ref="X34:AH46">
    <sortState ref="X35:AH46">
      <sortCondition ref="Y34:Y46"/>
    </sortState>
  </autoFilter>
  <conditionalFormatting sqref="O6">
    <cfRule type="cellIs" priority="57" operator="equal" dxfId="2">
      <formula>0</formula>
    </cfRule>
    <cfRule type="cellIs" priority="58" operator="lessThan" dxfId="1">
      <formula>0</formula>
    </cfRule>
    <cfRule type="cellIs" priority="59" operator="greaterThan" dxfId="0">
      <formula>0</formula>
    </cfRule>
  </conditionalFormatting>
  <conditionalFormatting sqref="O11">
    <cfRule type="cellIs" priority="54" operator="equal" dxfId="2">
      <formula>0</formula>
    </cfRule>
    <cfRule type="cellIs" priority="55" operator="lessThan" dxfId="1">
      <formula>0</formula>
    </cfRule>
    <cfRule type="cellIs" priority="56" operator="greaterThan" dxfId="0">
      <formula>0</formula>
    </cfRule>
  </conditionalFormatting>
  <conditionalFormatting sqref="O18">
    <cfRule type="cellIs" priority="51" operator="equal" dxfId="2">
      <formula>0</formula>
    </cfRule>
    <cfRule type="cellIs" priority="52" operator="lessThan" dxfId="1">
      <formula>0</formula>
    </cfRule>
    <cfRule type="cellIs" priority="53" operator="greaterThan" dxfId="0">
      <formula>0</formula>
    </cfRule>
  </conditionalFormatting>
  <conditionalFormatting sqref="AB53:AB56">
    <cfRule type="cellIs" priority="31" operator="equal" dxfId="2">
      <formula>0</formula>
    </cfRule>
    <cfRule type="cellIs" priority="32" operator="lessThan" dxfId="1">
      <formula>0</formula>
    </cfRule>
    <cfRule type="cellIs" priority="33" operator="greaterThan" dxfId="0">
      <formula>0</formula>
    </cfRule>
  </conditionalFormatting>
  <conditionalFormatting sqref="AB65:AB66">
    <cfRule type="cellIs" priority="16" operator="equal" dxfId="2">
      <formula>0</formula>
    </cfRule>
    <cfRule type="cellIs" priority="17" operator="lessThan" dxfId="1">
      <formula>0</formula>
    </cfRule>
    <cfRule type="cellIs" priority="18" operator="greaterThan" dxfId="0">
      <formula>0</formula>
    </cfRule>
  </conditionalFormatting>
  <conditionalFormatting sqref="AB73:AB74">
    <cfRule type="cellIs" priority="7" operator="equal" dxfId="2">
      <formula>0</formula>
    </cfRule>
    <cfRule type="cellIs" priority="8" operator="lessThan" dxfId="1">
      <formula>0</formula>
    </cfRule>
    <cfRule type="cellIs" priority="9" operator="greaterThan" dxfId="0">
      <formula>0</formula>
    </cfRule>
  </conditionalFormatting>
  <conditionalFormatting sqref="AB76:AB77">
    <cfRule type="cellIs" priority="4" operator="equal" dxfId="2">
      <formula>0</formula>
    </cfRule>
    <cfRule type="cellIs" priority="5" operator="lessThan" dxfId="1">
      <formula>0</formula>
    </cfRule>
    <cfRule type="cellIs" priority="6" operator="greaterThan" dxfId="0">
      <formula>0</formula>
    </cfRule>
  </conditionalFormatting>
  <conditionalFormatting sqref="AB35:AE46">
    <cfRule type="cellIs" priority="46" operator="equal" dxfId="2">
      <formula>0</formula>
    </cfRule>
    <cfRule type="cellIs" priority="49" operator="lessThan" dxfId="1">
      <formula>0</formula>
    </cfRule>
    <cfRule type="cellIs" priority="50" operator="greaterThan" dxfId="0">
      <formula>0</formula>
    </cfRule>
  </conditionalFormatting>
  <conditionalFormatting sqref="AD76:AD77">
    <cfRule type="cellIs" priority="1" operator="equal" dxfId="2">
      <formula>0</formula>
    </cfRule>
    <cfRule type="cellIs" priority="2" operator="lessThan" dxfId="1">
      <formula>0</formula>
    </cfRule>
    <cfRule type="cellIs" priority="3" operator="greaterThan" dxfId="0">
      <formula>0</formula>
    </cfRule>
  </conditionalFormatting>
  <conditionalFormatting sqref="AG35:AH46">
    <cfRule type="cellIs" priority="43" operator="equal" dxfId="2">
      <formula>0</formula>
    </cfRule>
    <cfRule type="cellIs" priority="44" operator="lessThan" dxfId="1">
      <formula>0</formula>
    </cfRule>
    <cfRule type="cellIs" priority="45" operator="greaterThan" dxfId="0">
      <formula>0</formula>
    </cfRule>
  </conditionalFormatting>
  <conditionalFormatting sqref="AH53:AH56">
    <cfRule type="cellIs" priority="19" operator="equal" dxfId="2">
      <formula>0</formula>
    </cfRule>
    <cfRule type="cellIs" priority="20" operator="lessThan" dxfId="1">
      <formula>0</formula>
    </cfRule>
    <cfRule type="cellIs" priority="21" operator="greaterThan" dxfId="0">
      <formula>0</formula>
    </cfRule>
  </conditionalFormatting>
  <pageMargins left="0.511811024" right="0.511811024" top="0.787401575" bottom="0.787401575" header="0.31496062" footer="0.31496062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3:P49"/>
  <sheetViews>
    <sheetView topLeftCell="A7" workbookViewId="0">
      <selection activeCell="H30" sqref="H30"/>
    </sheetView>
  </sheetViews>
  <sheetFormatPr baseColWidth="8" defaultRowHeight="15"/>
  <cols>
    <col width="39.42578125" bestFit="1" customWidth="1" style="235" min="3" max="3"/>
    <col width="13.7109375" bestFit="1" customWidth="1" style="235" min="4" max="5"/>
    <col width="11.7109375" customWidth="1" style="235" min="6" max="6"/>
    <col width="12.140625" bestFit="1" customWidth="1" style="235" min="7" max="7"/>
    <col width="12.5703125" bestFit="1" customWidth="1" style="235" min="8" max="8"/>
    <col width="10.42578125" bestFit="1" customWidth="1" style="235" min="9" max="9"/>
    <col width="12.140625" bestFit="1" customWidth="1" style="235" min="10" max="10"/>
    <col width="11.140625" bestFit="1" customWidth="1" style="235" min="11" max="11"/>
    <col width="8.42578125" bestFit="1" customWidth="1" style="235" min="13" max="13"/>
    <col width="8.28515625" bestFit="1" customWidth="1" style="235" min="14" max="14"/>
    <col width="14.28515625" bestFit="1" customWidth="1" style="235" min="15" max="15"/>
  </cols>
  <sheetData>
    <row r="3">
      <c r="C3" s="310" t="n"/>
    </row>
    <row r="4">
      <c r="C4" s="310" t="n"/>
      <c r="M4" s="310" t="n"/>
      <c r="N4" s="310" t="n"/>
      <c r="O4" s="310" t="n"/>
    </row>
    <row r="5">
      <c r="C5" s="310" t="inlineStr">
        <is>
          <t>ITENS DA FATURA</t>
        </is>
      </c>
      <c r="D5" t="inlineStr">
        <is>
          <t>UND</t>
        </is>
      </c>
      <c r="E5" t="inlineStr">
        <is>
          <t>QTD</t>
        </is>
      </c>
      <c r="F5" t="inlineStr">
        <is>
          <t>R$ UNIT</t>
        </is>
      </c>
      <c r="G5" s="359" t="inlineStr">
        <is>
          <t>R$</t>
        </is>
      </c>
      <c r="H5" s="364" t="inlineStr">
        <is>
          <t>PIS/COFINS</t>
        </is>
      </c>
      <c r="I5" s="28" t="inlineStr">
        <is>
          <t>ICMS(20%)</t>
        </is>
      </c>
      <c r="J5" s="327" t="inlineStr">
        <is>
          <t>ICMS</t>
        </is>
      </c>
      <c r="K5" t="inlineStr">
        <is>
          <t>TAR UNT R$</t>
        </is>
      </c>
      <c r="M5" s="310" t="inlineStr">
        <is>
          <t>TORRE A</t>
        </is>
      </c>
      <c r="N5" s="310" t="inlineStr">
        <is>
          <t>TORRE B</t>
        </is>
      </c>
      <c r="O5" s="310" t="inlineStr">
        <is>
          <t>TORRE C</t>
        </is>
      </c>
    </row>
    <row r="6">
      <c r="C6" s="310" t="inlineStr">
        <is>
          <t>ENERGIA ATIVA FORNECIDA TE</t>
        </is>
      </c>
      <c r="D6" t="inlineStr">
        <is>
          <t>kWh</t>
        </is>
      </c>
      <c r="E6" t="n">
        <v>11162</v>
      </c>
      <c r="F6" t="n">
        <v>0.39264</v>
      </c>
      <c r="G6" s="359" t="n">
        <v>4382.64768</v>
      </c>
      <c r="H6" s="364" t="n">
        <v>170.72165772672</v>
      </c>
      <c r="I6" s="28" t="n">
        <v>0.2</v>
      </c>
      <c r="J6" s="327" t="n">
        <v>876.529536</v>
      </c>
      <c r="K6" t="n">
        <v>0.29882</v>
      </c>
      <c r="M6" t="n">
        <v>2041</v>
      </c>
      <c r="N6" t="n">
        <v>2315</v>
      </c>
      <c r="O6" t="n">
        <v>6806</v>
      </c>
    </row>
    <row r="7">
      <c r="C7" s="310" t="inlineStr">
        <is>
          <t>ENERGIA ATIVA FORNECIDA TUSD</t>
        </is>
      </c>
      <c r="D7" t="inlineStr">
        <is>
          <t>kWh</t>
        </is>
      </c>
      <c r="E7" t="n">
        <v>11162</v>
      </c>
      <c r="F7" t="n">
        <v>0.58461</v>
      </c>
      <c r="G7" s="359" t="n">
        <v>6525.416819999999</v>
      </c>
      <c r="H7" s="364" t="n">
        <v>254.19108680628</v>
      </c>
      <c r="I7" s="28" t="n">
        <v>0.2</v>
      </c>
      <c r="J7" s="327" t="n">
        <v>1305.083364</v>
      </c>
      <c r="K7" t="n">
        <v>0.44491</v>
      </c>
    </row>
    <row r="8">
      <c r="C8" s="310" t="inlineStr">
        <is>
          <t>ENERGIA ATIVA INJ TE</t>
        </is>
      </c>
      <c r="D8" t="inlineStr">
        <is>
          <t>kWh</t>
        </is>
      </c>
      <c r="E8" t="n">
        <v>11162</v>
      </c>
      <c r="F8" t="n">
        <v>-0.39265</v>
      </c>
      <c r="G8" s="359" t="n">
        <v>-4382.7593</v>
      </c>
      <c r="H8" s="364" t="n">
        <v>-170.7260057722</v>
      </c>
      <c r="I8" s="28" t="n">
        <v>0.2</v>
      </c>
      <c r="J8" t="n">
        <v>-876.55186</v>
      </c>
      <c r="K8" t="n">
        <v>0.29882</v>
      </c>
    </row>
    <row r="9">
      <c r="C9" s="310" t="inlineStr">
        <is>
          <t>ENERGIA ATIVA INJETADA TUSD</t>
        </is>
      </c>
      <c r="D9" t="inlineStr">
        <is>
          <t>kWh</t>
        </is>
      </c>
      <c r="E9" t="n">
        <v>11162</v>
      </c>
      <c r="F9" t="n">
        <v>-0.46768</v>
      </c>
      <c r="G9" s="327" t="n">
        <v>-5220.24416</v>
      </c>
      <c r="H9" s="364" t="n">
        <v>-203.34939100864</v>
      </c>
      <c r="I9" t="n">
        <v>0</v>
      </c>
      <c r="K9" t="n">
        <v>0.44491</v>
      </c>
    </row>
    <row r="10">
      <c r="C10" s="310" t="n"/>
      <c r="F10" t="n">
        <v>0.11692</v>
      </c>
      <c r="G10" t="n">
        <v>1305.061040000001</v>
      </c>
    </row>
    <row r="11">
      <c r="C11" s="310" t="n"/>
    </row>
    <row r="12">
      <c r="C12" s="7" t="inlineStr">
        <is>
          <t>ITENS DA FATURA</t>
        </is>
      </c>
      <c r="D12" s="7" t="inlineStr">
        <is>
          <t>UND</t>
        </is>
      </c>
      <c r="E12" s="7" t="inlineStr">
        <is>
          <t>QTD</t>
        </is>
      </c>
      <c r="F12" s="7" t="inlineStr">
        <is>
          <t>R$ UNIT</t>
        </is>
      </c>
      <c r="G12" s="357" t="inlineStr">
        <is>
          <t>R$</t>
        </is>
      </c>
      <c r="H12" s="365" t="inlineStr">
        <is>
          <t>PIS/COFINS</t>
        </is>
      </c>
      <c r="I12" s="32" t="inlineStr">
        <is>
          <t>ICMS(20%)</t>
        </is>
      </c>
      <c r="J12" s="366" t="inlineStr">
        <is>
          <t>ICMS</t>
        </is>
      </c>
      <c r="K12" s="7" t="inlineStr">
        <is>
          <t>TAR UNT R$</t>
        </is>
      </c>
    </row>
    <row r="13">
      <c r="C13" s="23" t="inlineStr">
        <is>
          <t>ENERGIA ATIVA FORNECIDA TE</t>
        </is>
      </c>
      <c r="D13" s="2" t="inlineStr">
        <is>
          <t>kWh</t>
        </is>
      </c>
      <c r="E13" s="2" t="n">
        <v>11162</v>
      </c>
      <c r="F13" s="2" t="n">
        <v>0.39264</v>
      </c>
      <c r="G13" s="358">
        <f>E13*F13</f>
        <v/>
      </c>
      <c r="H13" s="367" t="n">
        <v>170.72165772672</v>
      </c>
      <c r="I13" s="31" t="n">
        <v>0.2</v>
      </c>
      <c r="J13" s="368" t="n">
        <v>876.529536</v>
      </c>
      <c r="K13" s="2" t="n">
        <v>0.29882</v>
      </c>
      <c r="L13" s="311">
        <f>K13+K14</f>
        <v/>
      </c>
      <c r="M13" s="310">
        <f>F13+F14</f>
        <v/>
      </c>
      <c r="N13">
        <f>M13-L13</f>
        <v/>
      </c>
      <c r="O13" s="369">
        <f>H13+J13</f>
        <v/>
      </c>
      <c r="P13">
        <f>E13*F13</f>
        <v/>
      </c>
    </row>
    <row r="14">
      <c r="C14" s="23" t="inlineStr">
        <is>
          <t>ENERGIA ATIVA FORNECIDA TUSD</t>
        </is>
      </c>
      <c r="D14" s="2" t="inlineStr">
        <is>
          <t>kWh</t>
        </is>
      </c>
      <c r="E14" s="2" t="n">
        <v>11162</v>
      </c>
      <c r="F14" s="2" t="n">
        <v>0.58461</v>
      </c>
      <c r="G14" s="358">
        <f>E14*F14</f>
        <v/>
      </c>
      <c r="H14" s="367" t="n">
        <v>254.19108680628</v>
      </c>
      <c r="I14" s="31" t="n">
        <v>0.2</v>
      </c>
      <c r="J14" s="368" t="n">
        <v>1305.083364</v>
      </c>
      <c r="K14" s="2" t="n">
        <v>0.44491</v>
      </c>
      <c r="L14" s="312" t="n"/>
      <c r="O14" s="369">
        <f>H14+J14</f>
        <v/>
      </c>
    </row>
    <row r="15">
      <c r="C15" s="23" t="inlineStr">
        <is>
          <t>ENERGIA ATIVA INJ TE</t>
        </is>
      </c>
      <c r="D15" s="2" t="inlineStr">
        <is>
          <t>kWh</t>
        </is>
      </c>
      <c r="E15" s="2" t="n">
        <v>11162</v>
      </c>
      <c r="F15" s="2" t="n">
        <v>-0.39265</v>
      </c>
      <c r="G15" s="358">
        <f>E15*F15</f>
        <v/>
      </c>
      <c r="H15" s="367" t="n">
        <v>-170.7260057722</v>
      </c>
      <c r="I15" s="31" t="n">
        <v>0.2</v>
      </c>
      <c r="J15" s="2" t="n">
        <v>-876.55186</v>
      </c>
      <c r="K15" s="2" t="n">
        <v>0.29882</v>
      </c>
      <c r="O15" s="369">
        <f>H15+J15</f>
        <v/>
      </c>
    </row>
    <row r="16">
      <c r="C16" s="23" t="inlineStr">
        <is>
          <t>ENERGIA ATIVA INJETADA TUSD</t>
        </is>
      </c>
      <c r="D16" s="2" t="inlineStr">
        <is>
          <t>kWh</t>
        </is>
      </c>
      <c r="E16" s="2" t="n">
        <v>11162</v>
      </c>
      <c r="F16" s="2" t="n">
        <v>-0.46768</v>
      </c>
      <c r="G16" s="358">
        <f>E16*F16</f>
        <v/>
      </c>
      <c r="H16" s="367" t="n">
        <v>-203.34939100864</v>
      </c>
      <c r="I16" s="2" t="n">
        <v>0</v>
      </c>
      <c r="J16" s="2" t="n"/>
      <c r="K16" s="2" t="n">
        <v>0.44491</v>
      </c>
    </row>
    <row r="17">
      <c r="C17" s="2" t="n"/>
      <c r="D17" s="2" t="n"/>
      <c r="E17" s="2" t="n"/>
      <c r="F17" s="2" t="n">
        <v>0.11692</v>
      </c>
      <c r="G17" s="358" t="n">
        <v>1305.06104</v>
      </c>
      <c r="H17" s="367" t="n"/>
      <c r="I17" s="31" t="n"/>
      <c r="J17" s="368" t="n"/>
      <c r="K17" s="2" t="n"/>
    </row>
    <row r="20">
      <c r="C20" s="2" t="inlineStr">
        <is>
          <t>kWh</t>
        </is>
      </c>
      <c r="J20" s="327">
        <f>G13*0.2</f>
        <v/>
      </c>
    </row>
    <row r="21">
      <c r="C21" s="35" t="n">
        <v>11162</v>
      </c>
      <c r="D21" s="38">
        <f>L13</f>
        <v/>
      </c>
      <c r="E21" s="39">
        <f>D21*0.8</f>
        <v/>
      </c>
      <c r="F21" s="28">
        <f>1-(E21/D21)</f>
        <v/>
      </c>
      <c r="H21" s="327" t="n"/>
    </row>
    <row r="22">
      <c r="C22" s="37" t="n"/>
      <c r="D22" s="370" t="inlineStr">
        <is>
          <t>ENEL</t>
        </is>
      </c>
      <c r="E22" s="371" t="inlineStr">
        <is>
          <t>SUN FARM</t>
        </is>
      </c>
      <c r="H22" s="327" t="n"/>
    </row>
    <row r="23">
      <c r="C23" s="35" t="n"/>
      <c r="D23" s="372">
        <f>$C$21*D21</f>
        <v/>
      </c>
      <c r="E23" s="373">
        <f>$C$21*E21</f>
        <v/>
      </c>
      <c r="G23" s="327" t="n"/>
    </row>
    <row r="24">
      <c r="C24" s="35" t="inlineStr">
        <is>
          <t>ICMS</t>
        </is>
      </c>
      <c r="D24" s="374">
        <f>J13+J14</f>
        <v/>
      </c>
      <c r="E24" s="373">
        <f>D24</f>
        <v/>
      </c>
      <c r="G24" s="327" t="n"/>
    </row>
    <row r="25">
      <c r="C25" s="35" t="inlineStr">
        <is>
          <t>ILUM PUBLICA A</t>
        </is>
      </c>
      <c r="D25" s="374" t="n">
        <v>146.85</v>
      </c>
      <c r="E25" s="373" t="n">
        <v>146.85</v>
      </c>
    </row>
    <row r="26">
      <c r="C26" s="35" t="inlineStr">
        <is>
          <t>ILUM PUBLICA B</t>
        </is>
      </c>
      <c r="D26" s="374" t="n">
        <v>146.85</v>
      </c>
      <c r="E26" s="373" t="n">
        <v>146.85</v>
      </c>
    </row>
    <row r="27">
      <c r="C27" s="35" t="inlineStr">
        <is>
          <t>ILUM PUBLICA C</t>
        </is>
      </c>
      <c r="D27" s="374" t="n">
        <v>146.85</v>
      </c>
      <c r="E27" s="373" t="n">
        <v>146.85</v>
      </c>
    </row>
    <row r="28">
      <c r="C28" s="36" t="inlineStr">
        <is>
          <t>CUSTO DISP A + DIF NÃO ACUMULADA</t>
        </is>
      </c>
      <c r="D28" s="375">
        <f>($F$13+$F$14)*F28</f>
        <v/>
      </c>
      <c r="E28" s="376">
        <f>D28</f>
        <v/>
      </c>
      <c r="F28" t="n">
        <v>125.08</v>
      </c>
    </row>
    <row r="29">
      <c r="C29" s="35" t="inlineStr">
        <is>
          <t>CUSTO DISP B + DIF NÃO ACUMULADA</t>
        </is>
      </c>
      <c r="D29" s="374">
        <f>($F$13+$F$14)*F29</f>
        <v/>
      </c>
      <c r="E29" s="376">
        <f>D29</f>
        <v/>
      </c>
      <c r="F29" t="n">
        <v>100</v>
      </c>
    </row>
    <row r="30">
      <c r="C30" s="35" t="inlineStr">
        <is>
          <t>CUSTO DISP C + DIF NÃO ACUMULADA</t>
        </is>
      </c>
      <c r="D30" s="374">
        <f>($F$13+$F$14)*F30</f>
        <v/>
      </c>
      <c r="E30" s="376">
        <f>D30</f>
        <v/>
      </c>
      <c r="F30" t="n">
        <v>1576.6</v>
      </c>
    </row>
    <row r="31" ht="15.6" customHeight="1" s="235">
      <c r="C31" s="40" t="inlineStr">
        <is>
          <t>PIS/COFINS</t>
        </is>
      </c>
      <c r="D31" s="377">
        <f>H13+H14</f>
        <v/>
      </c>
      <c r="E31" s="378">
        <f>(H15+H16)*-1</f>
        <v/>
      </c>
    </row>
    <row r="32">
      <c r="C32" s="35" t="inlineStr">
        <is>
          <t>total</t>
        </is>
      </c>
      <c r="D32" s="379">
        <f>SUM(D23:D31)</f>
        <v/>
      </c>
      <c r="E32" s="380">
        <f>SUM(E23:E31)</f>
        <v/>
      </c>
    </row>
    <row r="33">
      <c r="C33" s="310" t="n"/>
    </row>
    <row r="34">
      <c r="C34" s="310" t="n"/>
      <c r="E34" s="33" t="n"/>
      <c r="F34" s="34" t="n"/>
    </row>
    <row r="35">
      <c r="D35" s="310" t="inlineStr">
        <is>
          <t>coelce</t>
        </is>
      </c>
    </row>
    <row r="36">
      <c r="D36" s="310" t="inlineStr">
        <is>
          <t>TORRE A</t>
        </is>
      </c>
      <c r="E36" s="381" t="n">
        <v>507.8</v>
      </c>
    </row>
    <row r="37">
      <c r="D37" s="310" t="inlineStr">
        <is>
          <t>TORRE B</t>
        </is>
      </c>
      <c r="E37" s="381" t="n">
        <v>515.23</v>
      </c>
    </row>
    <row r="38">
      <c r="D38" s="310" t="inlineStr">
        <is>
          <t>TORRE C</t>
        </is>
      </c>
      <c r="E38" s="382" t="n">
        <v>2483.37</v>
      </c>
    </row>
    <row r="39">
      <c r="E39" s="381">
        <f>E36+E37+E38</f>
        <v/>
      </c>
      <c r="F39" t="inlineStr">
        <is>
          <t>VALOR A SER PAGO A ENEL</t>
        </is>
      </c>
    </row>
    <row r="41">
      <c r="C41" s="310" t="n"/>
      <c r="E41" s="327">
        <f>E32-E39</f>
        <v/>
      </c>
      <c r="F41" t="inlineStr">
        <is>
          <t>VALOR A SER PAGO A SUN FARM</t>
        </is>
      </c>
    </row>
    <row r="47">
      <c r="C47" s="310" t="inlineStr">
        <is>
          <t>ECONOMIA EM R$</t>
        </is>
      </c>
      <c r="D47" s="383">
        <f>D32-E32</f>
        <v/>
      </c>
    </row>
    <row r="48">
      <c r="C48" s="310" t="inlineStr">
        <is>
          <t>ECONOMIA EM % LIQUIDO COM IMPOSTOS</t>
        </is>
      </c>
      <c r="D48" s="28">
        <f>1-(E32/D32)</f>
        <v/>
      </c>
    </row>
    <row r="49">
      <c r="C49" s="310" t="inlineStr">
        <is>
          <t>ECNOMIA EM % BRUTO</t>
        </is>
      </c>
      <c r="D49" s="28">
        <f>F21</f>
        <v/>
      </c>
    </row>
  </sheetData>
  <mergeCells count="2">
    <mergeCell ref="M13:M14"/>
    <mergeCell ref="L13:L14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Tercio STG</dc:creator>
  <dcterms:created xsi:type="dcterms:W3CDTF">2022-12-21T12:55:57Z</dcterms:created>
  <dcterms:modified xsi:type="dcterms:W3CDTF">2024-05-10T02:00:30Z</dcterms:modified>
  <cp:lastModifiedBy>LOHAN</cp:lastModifiedBy>
</cp:coreProperties>
</file>