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HAN\Desktop\programação\Projeto-Boleto\"/>
    </mc:Choice>
  </mc:AlternateContent>
  <bookViews>
    <workbookView xWindow="-105" yWindow="-105" windowWidth="23250" windowHeight="12450" activeTab="1"/>
  </bookViews>
  <sheets>
    <sheet name="FATURA EDITAVEL" sheetId="1" r:id="rId1"/>
    <sheet name="dados" sheetId="2" r:id="rId2"/>
    <sheet name="Planilha3" sheetId="3" state="hidden" r:id="rId3"/>
    <sheet name="Planilha6" sheetId="4" state="hidden" r:id="rId4"/>
  </sheets>
  <definedNames>
    <definedName name="_xlnm._FilterDatabase" localSheetId="2" hidden="1">Planilha3!$X$34:$AH$46</definedName>
    <definedName name="_xlnm.Print_Area" localSheetId="0">'FATURA EDITAVEL'!$B$1:$R$108</definedName>
  </definedNames>
  <calcPr calcId="162913"/>
</workbook>
</file>

<file path=xl/calcChain.xml><?xml version="1.0" encoding="utf-8"?>
<calcChain xmlns="http://schemas.openxmlformats.org/spreadsheetml/2006/main">
  <c r="E39" i="4" l="1"/>
  <c r="E31" i="4"/>
  <c r="D31" i="4"/>
  <c r="D30" i="4"/>
  <c r="E30" i="4" s="1"/>
  <c r="E29" i="4"/>
  <c r="D29" i="4"/>
  <c r="E28" i="4"/>
  <c r="D28" i="4"/>
  <c r="D24" i="4"/>
  <c r="E24" i="4" s="1"/>
  <c r="J20" i="4"/>
  <c r="G16" i="4"/>
  <c r="O15" i="4"/>
  <c r="G15" i="4"/>
  <c r="O14" i="4"/>
  <c r="G14" i="4"/>
  <c r="P13" i="4"/>
  <c r="O13" i="4"/>
  <c r="M13" i="4"/>
  <c r="N13" i="4" s="1"/>
  <c r="L13" i="4"/>
  <c r="D21" i="4" s="1"/>
  <c r="G13" i="4"/>
  <c r="AB77" i="3"/>
  <c r="AC77" i="3" s="1"/>
  <c r="AF77" i="3" s="1"/>
  <c r="AC76" i="3"/>
  <c r="AC78" i="3" s="1"/>
  <c r="AB76" i="3"/>
  <c r="AC68" i="3"/>
  <c r="AF79" i="3" s="1"/>
  <c r="AC65" i="3"/>
  <c r="AB65" i="3"/>
  <c r="AB66" i="3" s="1"/>
  <c r="AC66" i="3" s="1"/>
  <c r="AA59" i="3"/>
  <c r="AC56" i="3"/>
  <c r="AA56" i="3"/>
  <c r="AA55" i="3"/>
  <c r="AC55" i="3" s="1"/>
  <c r="AI54" i="3"/>
  <c r="AD77" i="3" s="1"/>
  <c r="AE77" i="3" s="1"/>
  <c r="AC54" i="3"/>
  <c r="AA54" i="3"/>
  <c r="AI53" i="3"/>
  <c r="AD76" i="3" s="1"/>
  <c r="AE76" i="3" s="1"/>
  <c r="AE78" i="3" s="1"/>
  <c r="AA53" i="3"/>
  <c r="AC53" i="3" s="1"/>
  <c r="AK26" i="3"/>
  <c r="AJ26" i="3"/>
  <c r="AI26" i="3"/>
  <c r="N24" i="3"/>
  <c r="M24" i="3"/>
  <c r="L24" i="3"/>
  <c r="K24" i="3"/>
  <c r="S24" i="3" s="1"/>
  <c r="S18" i="3"/>
  <c r="Q18" i="3"/>
  <c r="O18" i="3"/>
  <c r="AJ16" i="3"/>
  <c r="S11" i="3"/>
  <c r="Q11" i="3"/>
  <c r="O11" i="3" s="1"/>
  <c r="S6" i="3"/>
  <c r="Q6" i="3"/>
  <c r="O6" i="3" s="1"/>
  <c r="C60" i="2"/>
  <c r="C59" i="2"/>
  <c r="C58" i="2"/>
  <c r="C57" i="2"/>
  <c r="C56" i="2"/>
  <c r="C55" i="2"/>
  <c r="R26" i="1" s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K29" i="2"/>
  <c r="C61" i="2" s="1"/>
  <c r="C29" i="2"/>
  <c r="C28" i="2"/>
  <c r="C27" i="2"/>
  <c r="C26" i="2"/>
  <c r="C25" i="2"/>
  <c r="C24" i="2"/>
  <c r="C23" i="2"/>
  <c r="C22" i="2"/>
  <c r="C21" i="2"/>
  <c r="C20" i="2"/>
  <c r="J26" i="1" s="1"/>
  <c r="J30" i="1" s="1"/>
  <c r="C19" i="2"/>
  <c r="K18" i="2"/>
  <c r="C18" i="2"/>
  <c r="C17" i="2"/>
  <c r="C16" i="2"/>
  <c r="C15" i="2"/>
  <c r="C14" i="2"/>
  <c r="C13" i="2"/>
  <c r="C12" i="2"/>
  <c r="C11" i="2"/>
  <c r="F10" i="2"/>
  <c r="C10" i="2"/>
  <c r="F9" i="2"/>
  <c r="C9" i="2"/>
  <c r="F8" i="2"/>
  <c r="C8" i="2"/>
  <c r="F7" i="2"/>
  <c r="C7" i="2"/>
  <c r="N5" i="2"/>
  <c r="N4" i="2"/>
  <c r="I4" i="2"/>
  <c r="L58" i="1"/>
  <c r="Q57" i="1"/>
  <c r="Q56" i="1"/>
  <c r="Q55" i="1"/>
  <c r="Q54" i="1"/>
  <c r="L54" i="1"/>
  <c r="J54" i="1"/>
  <c r="I54" i="1"/>
  <c r="H54" i="1"/>
  <c r="J45" i="1"/>
  <c r="J43" i="1"/>
  <c r="I38" i="1"/>
  <c r="R37" i="1"/>
  <c r="P37" i="1"/>
  <c r="M37" i="1"/>
  <c r="Q37" i="1" s="1"/>
  <c r="L37" i="1"/>
  <c r="I37" i="1"/>
  <c r="P36" i="1"/>
  <c r="I36" i="1"/>
  <c r="R35" i="1"/>
  <c r="P35" i="1"/>
  <c r="I35" i="1"/>
  <c r="H30" i="1"/>
  <c r="J28" i="1"/>
  <c r="J27" i="1"/>
  <c r="Q26" i="1"/>
  <c r="P26" i="1"/>
  <c r="M26" i="1"/>
  <c r="L26" i="1"/>
  <c r="I26" i="1"/>
  <c r="H26" i="1"/>
  <c r="R25" i="1"/>
  <c r="Q25" i="1"/>
  <c r="P25" i="1"/>
  <c r="M25" i="1"/>
  <c r="L25" i="1"/>
  <c r="J25" i="1"/>
  <c r="I25" i="1"/>
  <c r="H25" i="1"/>
  <c r="Q18" i="1"/>
  <c r="E18" i="1"/>
  <c r="B18" i="1"/>
  <c r="Q15" i="1"/>
  <c r="Q12" i="1"/>
  <c r="Q8" i="1"/>
  <c r="H35" i="1" l="1"/>
  <c r="H37" i="1"/>
  <c r="H38" i="1"/>
  <c r="J38" i="1" s="1"/>
  <c r="L38" i="1" s="1"/>
  <c r="D23" i="4"/>
  <c r="D32" i="4" s="1"/>
  <c r="E21" i="4"/>
  <c r="J44" i="1"/>
  <c r="H36" i="1"/>
  <c r="J36" i="1" s="1"/>
  <c r="O24" i="3"/>
  <c r="AC67" i="3"/>
  <c r="AC69" i="3" s="1"/>
  <c r="AD65" i="3"/>
  <c r="AE65" i="3" s="1"/>
  <c r="AE67" i="3" s="1"/>
  <c r="R36" i="1"/>
  <c r="R41" i="1" s="1"/>
  <c r="R42" i="1" s="1"/>
  <c r="I40" i="1" s="1"/>
  <c r="R38" i="1"/>
  <c r="AF76" i="3"/>
  <c r="AF78" i="3" s="1"/>
  <c r="AF80" i="3" s="1"/>
  <c r="AD66" i="3"/>
  <c r="AE66" i="3" s="1"/>
  <c r="M36" i="1" l="1"/>
  <c r="Q36" i="1" s="1"/>
  <c r="L36" i="1"/>
  <c r="E23" i="4"/>
  <c r="E32" i="4" s="1"/>
  <c r="F21" i="4"/>
  <c r="D49" i="4" s="1"/>
  <c r="H40" i="1"/>
  <c r="J40" i="1" s="1"/>
  <c r="J35" i="1"/>
  <c r="M35" i="1" l="1"/>
  <c r="Q35" i="1" s="1"/>
  <c r="J41" i="1" s="1"/>
  <c r="L35" i="1"/>
  <c r="J42" i="1" s="1"/>
  <c r="J49" i="1" s="1"/>
  <c r="Q62" i="1" s="1"/>
  <c r="Q60" i="1" s="1"/>
  <c r="I18" i="1" s="1"/>
  <c r="D48" i="4"/>
  <c r="E41" i="4"/>
  <c r="D47" i="4"/>
</calcChain>
</file>

<file path=xl/sharedStrings.xml><?xml version="1.0" encoding="utf-8"?>
<sst xmlns="http://schemas.openxmlformats.org/spreadsheetml/2006/main" count="409" uniqueCount="143">
  <si>
    <t>CLASSIFICAÇÃO DA UNIDADE CONSUMIDORA</t>
  </si>
  <si>
    <t>TIPO DE FORNECIMENTO</t>
  </si>
  <si>
    <t>B3 Comercial- CONV. - Comercial</t>
  </si>
  <si>
    <t>TRIFÁSICO</t>
  </si>
  <si>
    <t>INSTALAÇÃO/ UNIDADE GERADORA</t>
  </si>
  <si>
    <t>INSTALAÇÃO/ UNIDADE CONSUMID.</t>
  </si>
  <si>
    <t>DATAS DA LEITURA</t>
  </si>
  <si>
    <t>LEITURA ANTERIOR</t>
  </si>
  <si>
    <t>Supermercado São Francisco</t>
  </si>
  <si>
    <t>Rua Getúlio Vargas 253 CS Altos</t>
  </si>
  <si>
    <t>Centro, Aracoiaba-CE</t>
  </si>
  <si>
    <t>LEITURA ATUAL</t>
  </si>
  <si>
    <t>CEP: 62750-000</t>
  </si>
  <si>
    <t>N DO CLIENTE / UNIDADE GERADORA</t>
  </si>
  <si>
    <t>N DO CLIENTE</t>
  </si>
  <si>
    <t>CNPJ: 20.981.630/0001-00</t>
  </si>
  <si>
    <t>N DE DIAS</t>
  </si>
  <si>
    <t>MÊS/ANO</t>
  </si>
  <si>
    <t>VENCIMENTO</t>
  </si>
  <si>
    <t>TOTAL A PAGAR</t>
  </si>
  <si>
    <t>PRÓXIMA LEITURA</t>
  </si>
  <si>
    <t>DESCRIÇÃO DO FATURAMENTO ENEL (SEM SUN FARM)</t>
  </si>
  <si>
    <t>ORDEM</t>
  </si>
  <si>
    <t>Mercantil</t>
  </si>
  <si>
    <t>Itens de Fatura</t>
  </si>
  <si>
    <t>Unid.</t>
  </si>
  <si>
    <t>Quant.</t>
  </si>
  <si>
    <t>Preço unit (r$) com tributos</t>
  </si>
  <si>
    <t>Valor(R$)</t>
  </si>
  <si>
    <t>PIS/COFINS</t>
  </si>
  <si>
    <t>Base Calc ICMS (R$)</t>
  </si>
  <si>
    <t>Alícota ICMS</t>
  </si>
  <si>
    <t>ICMS</t>
  </si>
  <si>
    <t>Tarifa unit (R$)</t>
  </si>
  <si>
    <t>A</t>
  </si>
  <si>
    <t>Energia ativa fornecia TE</t>
  </si>
  <si>
    <t>kWh</t>
  </si>
  <si>
    <t>Energia ativa fornecia TUSD</t>
  </si>
  <si>
    <t>CIP ILUM MUNICIPAL</t>
  </si>
  <si>
    <t>Outros</t>
  </si>
  <si>
    <t>TOTAL</t>
  </si>
  <si>
    <t xml:space="preserve">DESCRIÇÃO DO FATURAMENTO SUN FARM </t>
  </si>
  <si>
    <t>Unidade</t>
  </si>
  <si>
    <t>ENERGIA ATIVA FORNECIDA TE</t>
  </si>
  <si>
    <t>ENERGIA ATIVA FORNECIDA TUSD</t>
  </si>
  <si>
    <t>ENERGIA ATIVA INJ TE</t>
  </si>
  <si>
    <t>ENERGIA ATIVA INJETADA TUSD</t>
  </si>
  <si>
    <t>ENERGIA ATIVA INJ ETADA</t>
  </si>
  <si>
    <t>kWh x R$</t>
  </si>
  <si>
    <t>DESCONTO SUN FARM</t>
  </si>
  <si>
    <t>TARIFA ENEL</t>
  </si>
  <si>
    <t>TARIFA SUN FARM</t>
  </si>
  <si>
    <t>CUSTO DISP  + DIF NÃO ACUMULADA</t>
  </si>
  <si>
    <t>DADOS DE MEDIÇÃO</t>
  </si>
  <si>
    <t>VALORES A SEREM PAGOS</t>
  </si>
  <si>
    <t>Medidor</t>
  </si>
  <si>
    <t>Grandezas</t>
  </si>
  <si>
    <t>Postos Tarifários</t>
  </si>
  <si>
    <t>Leitura Anterior</t>
  </si>
  <si>
    <t>Leitura Atual</t>
  </si>
  <si>
    <t>Const. Medidor</t>
  </si>
  <si>
    <t>Consumo kWh/Kw</t>
  </si>
  <si>
    <t xml:space="preserve">A </t>
  </si>
  <si>
    <t>4837700-NAN-437</t>
  </si>
  <si>
    <t>ENERGIA ATIVA - KWH</t>
  </si>
  <si>
    <t>HFP</t>
  </si>
  <si>
    <t>UND GERADORA 1 - SF PV 100</t>
  </si>
  <si>
    <t>UND GERADORA 2 - SF BEBERIBE</t>
  </si>
  <si>
    <t>VALOR A SER PAGO A ENEL</t>
  </si>
  <si>
    <t>VALOR A SER PAGO A SUN FARM</t>
  </si>
  <si>
    <t>RESPONSÁVEL PELA ILUMINAÇÃO PÚBLICA EM SUA RUA/REGIÃO</t>
  </si>
  <si>
    <t>PREFEITURA MUNICIPAL ARACOIABA</t>
  </si>
  <si>
    <t>VALOR TOTAL</t>
  </si>
  <si>
    <t>NOTIFICAÇÃO/REAVISO DE CONTAS VENCIDAS</t>
  </si>
  <si>
    <t>Energia Injetada HFP no mês: 0 kWh. Saldo utilizado no mês: 13.198.00 kWh. Saldo atualizado: 8.537.00 kWh. Créditos a Expirar no próximo mês: 0 kWh.</t>
  </si>
  <si>
    <t>Boleto</t>
  </si>
  <si>
    <t>Coluna1</t>
  </si>
  <si>
    <t>B</t>
  </si>
  <si>
    <t>Energia Ativa Fornecida TE</t>
  </si>
  <si>
    <t>Energia Ativa Fornecida TUSD</t>
  </si>
  <si>
    <t>Energia Atv Inj TE oUC 04/2024 mPT</t>
  </si>
  <si>
    <t>Energia Atv Inj TUSD oUC 04/2024 mPT</t>
  </si>
  <si>
    <t>CIP ILUM PUB PREF MUNICIPAL</t>
  </si>
  <si>
    <t>outros</t>
  </si>
  <si>
    <t>TORRE</t>
  </si>
  <si>
    <t xml:space="preserve">TORRE A </t>
  </si>
  <si>
    <t>5259341-ELE-647</t>
  </si>
  <si>
    <t>12768.00</t>
  </si>
  <si>
    <t>26066.00</t>
  </si>
  <si>
    <t>1.00</t>
  </si>
  <si>
    <t>13298.00</t>
  </si>
  <si>
    <t>28/03/2024</t>
  </si>
  <si>
    <t>26/04/2024</t>
  </si>
  <si>
    <t>29</t>
  </si>
  <si>
    <t>28/05/2024</t>
  </si>
  <si>
    <t>04/2024</t>
  </si>
  <si>
    <t>17/05/2024</t>
  </si>
  <si>
    <t>Energia Atv Inj TE oUC 03/2024 mPT</t>
  </si>
  <si>
    <t>Energia Atv Inj TUSD oUC 03/2024 mPT</t>
  </si>
  <si>
    <t>geraçao</t>
  </si>
  <si>
    <t>TORRE A</t>
  </si>
  <si>
    <t>inj</t>
  </si>
  <si>
    <t>saldo util no mês</t>
  </si>
  <si>
    <t>sald atualiz</t>
  </si>
  <si>
    <t>consumo</t>
  </si>
  <si>
    <t>energia inj</t>
  </si>
  <si>
    <t>saldo utilizado</t>
  </si>
  <si>
    <t>saldo atualizado</t>
  </si>
  <si>
    <t>geraçao de credito</t>
  </si>
  <si>
    <t>cred a expirar prox mês</t>
  </si>
  <si>
    <t>energia gerada</t>
  </si>
  <si>
    <t>energia ativa fornecia TE</t>
  </si>
  <si>
    <t>energia ativa fornecia TUSD</t>
  </si>
  <si>
    <t>energia ativa INJ TE UC 6/23</t>
  </si>
  <si>
    <t>energia ativa INJ TUSD UC 6/23</t>
  </si>
  <si>
    <t>TORRE B</t>
  </si>
  <si>
    <t>C</t>
  </si>
  <si>
    <t>TORRE C</t>
  </si>
  <si>
    <t>VALOR DA CONTA</t>
  </si>
  <si>
    <t>TE SEM IMPOST.</t>
  </si>
  <si>
    <t>TUSD SEM IMPOST.</t>
  </si>
  <si>
    <t>IMPOSTO</t>
  </si>
  <si>
    <t>SALDO</t>
  </si>
  <si>
    <t>ITENS DA FATURA</t>
  </si>
  <si>
    <t>UND</t>
  </si>
  <si>
    <t>QTD</t>
  </si>
  <si>
    <t>R$ UNIT</t>
  </si>
  <si>
    <t>R$</t>
  </si>
  <si>
    <t>ICMS(20%)</t>
  </si>
  <si>
    <t>TAR UNT R$</t>
  </si>
  <si>
    <t>ENEL</t>
  </si>
  <si>
    <t>SUN FARM</t>
  </si>
  <si>
    <t>ILUM PUBLICA A</t>
  </si>
  <si>
    <t>ILUM PUBLICA B</t>
  </si>
  <si>
    <t>ILUM PUBLICA C</t>
  </si>
  <si>
    <t>CUSTO DISP A + DIF NÃO ACUMULADA</t>
  </si>
  <si>
    <t>CUSTO DISP B + DIF NÃO ACUMULADA</t>
  </si>
  <si>
    <t>CUSTO DISP C + DIF NÃO ACUMULADA</t>
  </si>
  <si>
    <t>total</t>
  </si>
  <si>
    <t>coelce</t>
  </si>
  <si>
    <t>ECONOMIA EM R$</t>
  </si>
  <si>
    <t>ECONOMIA EM % LIQUIDO COM IMPOSTOS</t>
  </si>
  <si>
    <t>ECNOMIA EM %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</si>
</sst>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R$&quot;\ * #,##0.00_-;\-&quot;R$&quot;\ * #,##0.00_-;_-&quot;R$&quot;\ * &quot;-&quot;??_-;_-@_-"/>
    <numFmt numFmtId="164" formatCode="_-&quot;R$&quot;\ * #,##0.00000_-;\-&quot;R$&quot;\ * #,##0.00000_-;_-&quot;R$&quot;\ * &quot;-&quot;??_-;_-@_-"/>
    <numFmt numFmtId="165" formatCode="_-&quot;R$&quot;\ * #,##0.00000_-;\-&quot;R$&quot;\ * #,##0.00000_-;_-&quot;R$&quot;\ * &quot;-&quot;?????_-;_-@_-"/>
    <numFmt numFmtId="166" formatCode="0.0"/>
    <numFmt numFmtId="167" formatCode="_-[$R$-416]\ * #,##0.00_-;\-[$R$-416]\ * #,##0.00_-;_-[$R$-416]\ * &quot;-&quot;??_-;_-@_-"/>
    <numFmt numFmtId="168" formatCode="_-&quot;R$&quot;\ * #,##0.0000_-;\-&quot;R$&quot;\ * #,##0.0000_-;_-&quot;R$&quot;\ * &quot;-&quot;??_-;_-@_-"/>
    <numFmt numFmtId="169" formatCode="[$-416]mmm\-yy;@"/>
    <numFmt numFmtId="170" formatCode="_-&quot;R$&quot;\ * #,##0.0000_-;\-&quot;R$&quot;\ * #,##0.0000_-;_-&quot;R$&quot;\ * &quot;-&quot;??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2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0335"/>
        <bgColor indexed="64"/>
      </patternFill>
    </fill>
    <fill>
      <patternFill patternType="solid">
        <fgColor rgb="FFFD2825"/>
        <bgColor indexed="64"/>
      </patternFill>
    </fill>
    <fill>
      <patternFill patternType="solid">
        <fgColor rgb="FFFD56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4" fontId="1" fillId="0" borderId="0"/>
    <xf numFmtId="9" fontId="1" fillId="0" borderId="0"/>
    <xf numFmtId="0" fontId="31" fillId="0" borderId="0"/>
    <xf numFmtId="44" fontId="1" fillId="0" borderId="0"/>
    <xf numFmtId="9" fontId="1" fillId="0" borderId="0"/>
    <xf numFmtId="0" fontId="31" fillId="0" borderId="0"/>
  </cellStyleXfs>
  <cellXfs count="3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" fontId="0" fillId="0" borderId="1" xfId="0" applyNumberFormat="1" applyBorder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3" borderId="3" xfId="0" applyFill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3" fontId="0" fillId="0" borderId="1" xfId="0" applyNumberFormat="1" applyBorder="1"/>
    <xf numFmtId="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9" fontId="0" fillId="0" borderId="0" xfId="0" applyNumberFormat="1"/>
    <xf numFmtId="9" fontId="0" fillId="0" borderId="0" xfId="2" applyFont="1"/>
    <xf numFmtId="0" fontId="2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/>
    <xf numFmtId="0" fontId="0" fillId="4" borderId="2" xfId="0" applyFill="1" applyBorder="1"/>
    <xf numFmtId="0" fontId="5" fillId="0" borderId="2" xfId="0" applyFont="1" applyBorder="1" applyAlignment="1">
      <alignment horizontal="center"/>
    </xf>
    <xf numFmtId="0" fontId="7" fillId="0" borderId="15" xfId="0" applyFont="1" applyBorder="1"/>
    <xf numFmtId="0" fontId="8" fillId="0" borderId="0" xfId="0" applyFont="1" applyAlignment="1">
      <alignment horizontal="left" vertical="center"/>
    </xf>
    <xf numFmtId="10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6" xfId="0" applyFont="1" applyBorder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7" fillId="0" borderId="0" xfId="0" applyFont="1"/>
    <xf numFmtId="0" fontId="11" fillId="0" borderId="0" xfId="0" applyFont="1"/>
    <xf numFmtId="0" fontId="2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left" vertical="center"/>
    </xf>
    <xf numFmtId="3" fontId="0" fillId="0" borderId="16" xfId="0" applyNumberFormat="1" applyBorder="1" applyAlignment="1">
      <alignment horizontal="center" vertical="center"/>
    </xf>
    <xf numFmtId="0" fontId="7" fillId="0" borderId="16" xfId="0" applyFont="1" applyBorder="1"/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0" fontId="21" fillId="0" borderId="0" xfId="0" applyFont="1"/>
    <xf numFmtId="3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6" xfId="0" applyFont="1" applyBorder="1" applyAlignment="1">
      <alignment horizontal="left" vertical="center"/>
    </xf>
    <xf numFmtId="0" fontId="23" fillId="0" borderId="0" xfId="0" applyFont="1"/>
    <xf numFmtId="0" fontId="24" fillId="0" borderId="31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/>
    <xf numFmtId="0" fontId="21" fillId="2" borderId="16" xfId="0" applyFont="1" applyFill="1" applyBorder="1"/>
    <xf numFmtId="3" fontId="21" fillId="6" borderId="21" xfId="0" applyNumberFormat="1" applyFont="1" applyFill="1" applyBorder="1" applyAlignment="1">
      <alignment horizontal="center" vertical="center"/>
    </xf>
    <xf numFmtId="3" fontId="3" fillId="6" borderId="28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9" fontId="21" fillId="2" borderId="13" xfId="2" applyFont="1" applyFill="1" applyBorder="1" applyAlignment="1">
      <alignment horizontal="center" vertical="center"/>
    </xf>
    <xf numFmtId="9" fontId="21" fillId="2" borderId="0" xfId="2" applyFont="1" applyFill="1" applyAlignment="1">
      <alignment horizontal="center" vertical="center"/>
    </xf>
    <xf numFmtId="9" fontId="21" fillId="2" borderId="0" xfId="2" applyFont="1" applyFill="1"/>
    <xf numFmtId="0" fontId="0" fillId="0" borderId="41" xfId="0" applyBorder="1"/>
    <xf numFmtId="0" fontId="21" fillId="0" borderId="42" xfId="0" applyFont="1" applyBorder="1"/>
    <xf numFmtId="0" fontId="0" fillId="0" borderId="0" xfId="0" applyAlignment="1">
      <alignment horizontal="right"/>
    </xf>
    <xf numFmtId="9" fontId="21" fillId="0" borderId="42" xfId="0" applyNumberFormat="1" applyFont="1" applyBorder="1"/>
    <xf numFmtId="0" fontId="0" fillId="0" borderId="43" xfId="0" applyBorder="1"/>
    <xf numFmtId="0" fontId="2" fillId="0" borderId="9" xfId="0" applyFont="1" applyBorder="1" applyAlignment="1">
      <alignment horizontal="center"/>
    </xf>
    <xf numFmtId="0" fontId="8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0" fontId="8" fillId="0" borderId="9" xfId="0" applyNumberFormat="1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9" fontId="21" fillId="2" borderId="45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4" fillId="0" borderId="0" xfId="0" applyFont="1" applyAlignment="1">
      <alignment vertical="center" wrapText="1"/>
    </xf>
    <xf numFmtId="0" fontId="0" fillId="3" borderId="1" xfId="0" applyFill="1" applyBorder="1" applyAlignment="1">
      <alignment horizontal="center"/>
    </xf>
    <xf numFmtId="10" fontId="0" fillId="3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3" fontId="0" fillId="6" borderId="1" xfId="0" applyNumberFormat="1" applyFill="1" applyBorder="1" applyAlignment="1">
      <alignment horizontal="left"/>
    </xf>
    <xf numFmtId="2" fontId="0" fillId="2" borderId="0" xfId="0" applyNumberFormat="1" applyFill="1" applyAlignment="1">
      <alignment horizontal="center"/>
    </xf>
    <xf numFmtId="2" fontId="0" fillId="2" borderId="45" xfId="0" applyNumberFormat="1" applyFill="1" applyBorder="1" applyAlignment="1">
      <alignment horizontal="center"/>
    </xf>
    <xf numFmtId="0" fontId="0" fillId="12" borderId="0" xfId="0" applyFill="1"/>
    <xf numFmtId="2" fontId="0" fillId="3" borderId="1" xfId="0" applyNumberFormat="1" applyFill="1" applyBorder="1" applyAlignment="1">
      <alignment horizontal="left"/>
    </xf>
    <xf numFmtId="0" fontId="3" fillId="0" borderId="16" xfId="0" applyFont="1" applyBorder="1" applyAlignment="1">
      <alignment vertical="center" wrapText="1"/>
    </xf>
    <xf numFmtId="2" fontId="21" fillId="6" borderId="0" xfId="0" applyNumberFormat="1" applyFont="1" applyFill="1" applyAlignment="1">
      <alignment horizontal="center" vertical="center"/>
    </xf>
    <xf numFmtId="0" fontId="0" fillId="0" borderId="12" xfId="0" applyBorder="1"/>
    <xf numFmtId="9" fontId="8" fillId="0" borderId="9" xfId="2" applyFont="1" applyBorder="1" applyAlignment="1">
      <alignment horizontal="center" vertical="center"/>
    </xf>
    <xf numFmtId="4" fontId="21" fillId="0" borderId="0" xfId="0" applyNumberFormat="1" applyFont="1"/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33" fillId="0" borderId="0" xfId="0" applyFont="1" applyAlignment="1">
      <alignment textRotation="255" wrapText="1"/>
    </xf>
    <xf numFmtId="0" fontId="0" fillId="6" borderId="0" xfId="0" applyFill="1"/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 vertical="top"/>
    </xf>
    <xf numFmtId="17" fontId="29" fillId="10" borderId="0" xfId="0" applyNumberFormat="1" applyFont="1" applyFill="1" applyAlignment="1">
      <alignment horizontal="center" vertical="top"/>
    </xf>
    <xf numFmtId="0" fontId="0" fillId="0" borderId="0" xfId="0" applyAlignment="1">
      <alignment vertical="top"/>
    </xf>
    <xf numFmtId="0" fontId="0" fillId="11" borderId="0" xfId="0" applyFill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4" fontId="0" fillId="2" borderId="1" xfId="0" applyNumberFormat="1" applyFill="1" applyBorder="1" applyAlignment="1">
      <alignment horizontal="center" vertical="top"/>
    </xf>
    <xf numFmtId="10" fontId="0" fillId="2" borderId="1" xfId="0" applyNumberFormat="1" applyFill="1" applyBorder="1" applyAlignment="1">
      <alignment horizontal="center" vertical="top"/>
    </xf>
    <xf numFmtId="3" fontId="0" fillId="0" borderId="0" xfId="0" applyNumberFormat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 wrapText="1"/>
    </xf>
    <xf numFmtId="0" fontId="24" fillId="0" borderId="0" xfId="0" applyFont="1" applyAlignment="1">
      <alignment horizontal="center" vertical="top" wrapText="1"/>
    </xf>
    <xf numFmtId="0" fontId="0" fillId="6" borderId="1" xfId="0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8" fillId="8" borderId="14" xfId="0" applyFont="1" applyFill="1" applyBorder="1" applyAlignment="1">
      <alignment horizontal="center" vertical="top" textRotation="255" wrapText="1"/>
    </xf>
    <xf numFmtId="0" fontId="28" fillId="8" borderId="19" xfId="0" applyFont="1" applyFill="1" applyBorder="1" applyAlignment="1">
      <alignment horizontal="center" vertical="top"/>
    </xf>
    <xf numFmtId="0" fontId="28" fillId="8" borderId="29" xfId="0" applyFont="1" applyFill="1" applyBorder="1" applyAlignment="1">
      <alignment horizontal="center" vertical="top"/>
    </xf>
    <xf numFmtId="0" fontId="28" fillId="8" borderId="16" xfId="0" applyFont="1" applyFill="1" applyBorder="1" applyAlignment="1">
      <alignment horizontal="center" vertical="top" textRotation="255" wrapText="1"/>
    </xf>
    <xf numFmtId="14" fontId="9" fillId="2" borderId="12" xfId="0" applyNumberFormat="1" applyFont="1" applyFill="1" applyBorder="1" applyAlignment="1">
      <alignment horizontal="center" vertical="top"/>
    </xf>
    <xf numFmtId="14" fontId="9" fillId="2" borderId="38" xfId="0" applyNumberFormat="1" applyFont="1" applyFill="1" applyBorder="1" applyAlignment="1">
      <alignment horizontal="center" vertical="top"/>
    </xf>
    <xf numFmtId="0" fontId="9" fillId="2" borderId="38" xfId="0" applyFont="1" applyFill="1" applyBorder="1" applyAlignment="1">
      <alignment horizontal="center" vertical="top"/>
    </xf>
    <xf numFmtId="0" fontId="28" fillId="9" borderId="29" xfId="0" applyFont="1" applyFill="1" applyBorder="1" applyAlignment="1">
      <alignment horizontal="center" vertical="top"/>
    </xf>
    <xf numFmtId="14" fontId="0" fillId="0" borderId="0" xfId="0" applyNumberFormat="1" applyAlignment="1">
      <alignment vertical="top"/>
    </xf>
    <xf numFmtId="3" fontId="0" fillId="2" borderId="0" xfId="0" applyNumberFormat="1" applyFill="1" applyAlignment="1">
      <alignment horizontal="center" vertical="top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10" fontId="0" fillId="2" borderId="1" xfId="0" applyNumberFormat="1" applyFill="1" applyBorder="1" applyAlignment="1">
      <alignment vertical="top"/>
    </xf>
    <xf numFmtId="0" fontId="24" fillId="0" borderId="0" xfId="0" applyFont="1" applyAlignment="1">
      <alignment vertical="top" wrapText="1"/>
    </xf>
    <xf numFmtId="0" fontId="0" fillId="0" borderId="0" xfId="0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0" fillId="0" borderId="16" xfId="0" applyBorder="1"/>
    <xf numFmtId="0" fontId="0" fillId="0" borderId="5" xfId="0" applyBorder="1"/>
    <xf numFmtId="0" fontId="0" fillId="0" borderId="18" xfId="0" applyBorder="1"/>
    <xf numFmtId="0" fontId="24" fillId="0" borderId="3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5" xfId="0" applyBorder="1" applyAlignment="1">
      <alignment horizontal="center"/>
    </xf>
    <xf numFmtId="0" fontId="0" fillId="0" borderId="17" xfId="0" applyBorder="1"/>
    <xf numFmtId="0" fontId="2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4" fontId="21" fillId="2" borderId="13" xfId="1" applyFont="1" applyFill="1" applyBorder="1" applyAlignment="1">
      <alignment horizontal="center" vertical="center"/>
    </xf>
    <xf numFmtId="44" fontId="21" fillId="2" borderId="14" xfId="1" applyFont="1" applyFill="1" applyBorder="1" applyAlignment="1">
      <alignment horizontal="center" vertical="center"/>
    </xf>
    <xf numFmtId="44" fontId="21" fillId="2" borderId="0" xfId="1" applyFont="1" applyFill="1" applyAlignment="1">
      <alignment horizontal="center" vertical="center"/>
    </xf>
    <xf numFmtId="44" fontId="21" fillId="2" borderId="16" xfId="1" applyFont="1" applyFill="1" applyBorder="1" applyAlignment="1">
      <alignment horizontal="center" vertical="center"/>
    </xf>
    <xf numFmtId="44" fontId="21" fillId="2" borderId="0" xfId="1" applyFont="1" applyFill="1"/>
    <xf numFmtId="44" fontId="0" fillId="0" borderId="0" xfId="1" applyFont="1" applyAlignment="1">
      <alignment horizontal="center"/>
    </xf>
    <xf numFmtId="164" fontId="21" fillId="2" borderId="0" xfId="1" applyNumberFormat="1" applyFont="1" applyFill="1" applyAlignment="1">
      <alignment horizontal="center" vertical="center"/>
    </xf>
    <xf numFmtId="44" fontId="21" fillId="6" borderId="0" xfId="0" applyNumberFormat="1" applyFont="1" applyFill="1" applyAlignment="1">
      <alignment horizontal="center" vertical="center"/>
    </xf>
    <xf numFmtId="44" fontId="21" fillId="2" borderId="42" xfId="1" applyFont="1" applyFill="1" applyBorder="1" applyAlignment="1">
      <alignment horizontal="center" vertical="center"/>
    </xf>
    <xf numFmtId="44" fontId="0" fillId="0" borderId="0" xfId="0" applyNumberFormat="1"/>
    <xf numFmtId="164" fontId="21" fillId="2" borderId="45" xfId="1" applyNumberFormat="1" applyFont="1" applyFill="1" applyBorder="1" applyAlignment="1">
      <alignment horizontal="center" vertical="center"/>
    </xf>
    <xf numFmtId="44" fontId="21" fillId="6" borderId="22" xfId="0" applyNumberFormat="1" applyFont="1" applyFill="1" applyBorder="1" applyAlignment="1">
      <alignment horizontal="center" vertical="center"/>
    </xf>
    <xf numFmtId="44" fontId="21" fillId="2" borderId="45" xfId="1" applyFont="1" applyFill="1" applyBorder="1" applyAlignment="1">
      <alignment horizontal="center" vertical="center"/>
    </xf>
    <xf numFmtId="44" fontId="21" fillId="6" borderId="0" xfId="0" applyNumberFormat="1" applyFont="1" applyFill="1"/>
    <xf numFmtId="44" fontId="21" fillId="0" borderId="0" xfId="1" applyFont="1" applyAlignment="1">
      <alignment horizontal="center" vertical="center"/>
    </xf>
    <xf numFmtId="44" fontId="21" fillId="6" borderId="42" xfId="1" applyFont="1" applyFill="1" applyBorder="1" applyAlignment="1">
      <alignment horizontal="left" vertical="center"/>
    </xf>
    <xf numFmtId="165" fontId="21" fillId="0" borderId="0" xfId="0" applyNumberFormat="1" applyFont="1"/>
    <xf numFmtId="44" fontId="21" fillId="6" borderId="42" xfId="0" applyNumberFormat="1" applyFont="1" applyFill="1" applyBorder="1" applyAlignment="1">
      <alignment horizontal="left"/>
    </xf>
    <xf numFmtId="44" fontId="21" fillId="0" borderId="42" xfId="1" applyFont="1" applyBorder="1" applyAlignment="1">
      <alignment horizontal="center" vertical="center"/>
    </xf>
    <xf numFmtId="44" fontId="21" fillId="0" borderId="0" xfId="1" applyFont="1" applyAlignment="1">
      <alignment horizontal="left" vertical="center"/>
    </xf>
    <xf numFmtId="44" fontId="8" fillId="0" borderId="9" xfId="1" applyFont="1" applyBorder="1" applyAlignment="1">
      <alignment horizontal="center" vertical="center"/>
    </xf>
    <xf numFmtId="44" fontId="8" fillId="0" borderId="44" xfId="1" applyFont="1" applyBorder="1" applyAlignment="1">
      <alignment horizontal="center" vertical="center"/>
    </xf>
    <xf numFmtId="44" fontId="8" fillId="0" borderId="0" xfId="1" applyFont="1" applyAlignment="1">
      <alignment horizontal="center" vertical="center"/>
    </xf>
    <xf numFmtId="166" fontId="0" fillId="2" borderId="0" xfId="0" applyNumberFormat="1" applyFill="1" applyAlignment="1">
      <alignment horizontal="center"/>
    </xf>
    <xf numFmtId="167" fontId="0" fillId="2" borderId="32" xfId="0" applyNumberFormat="1" applyFill="1" applyBorder="1" applyAlignment="1">
      <alignment vertical="center"/>
    </xf>
    <xf numFmtId="167" fontId="0" fillId="2" borderId="47" xfId="0" applyNumberFormat="1" applyFill="1" applyBorder="1" applyAlignment="1">
      <alignment vertical="center"/>
    </xf>
    <xf numFmtId="44" fontId="0" fillId="2" borderId="33" xfId="1" applyFont="1" applyFill="1" applyBorder="1"/>
    <xf numFmtId="167" fontId="0" fillId="6" borderId="28" xfId="0" applyNumberFormat="1" applyFill="1" applyBorder="1" applyAlignment="1">
      <alignment vertical="center"/>
    </xf>
    <xf numFmtId="44" fontId="0" fillId="6" borderId="28" xfId="0" applyNumberFormat="1" applyFill="1" applyBorder="1" applyAlignment="1">
      <alignment vertical="center"/>
    </xf>
    <xf numFmtId="168" fontId="0" fillId="3" borderId="1" xfId="0" applyNumberFormat="1" applyFill="1" applyBorder="1" applyAlignment="1">
      <alignment horizontal="left"/>
    </xf>
    <xf numFmtId="44" fontId="0" fillId="3" borderId="1" xfId="0" applyNumberFormat="1" applyFill="1" applyBorder="1" applyAlignment="1">
      <alignment horizontal="left"/>
    </xf>
    <xf numFmtId="167" fontId="0" fillId="2" borderId="1" xfId="0" applyNumberFormat="1" applyFill="1" applyBorder="1" applyAlignment="1">
      <alignment horizontal="center" vertical="top"/>
    </xf>
    <xf numFmtId="169" fontId="9" fillId="2" borderId="38" xfId="0" applyNumberFormat="1" applyFont="1" applyFill="1" applyBorder="1" applyAlignment="1">
      <alignment horizontal="center" vertical="top"/>
    </xf>
    <xf numFmtId="44" fontId="0" fillId="3" borderId="3" xfId="0" applyNumberFormat="1" applyFill="1" applyBorder="1" applyAlignment="1">
      <alignment horizontal="left"/>
    </xf>
    <xf numFmtId="169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0" xfId="1" applyFont="1"/>
    <xf numFmtId="44" fontId="0" fillId="0" borderId="4" xfId="0" applyNumberFormat="1" applyBorder="1"/>
    <xf numFmtId="44" fontId="0" fillId="0" borderId="5" xfId="0" applyNumberFormat="1" applyBorder="1"/>
    <xf numFmtId="44" fontId="0" fillId="0" borderId="1" xfId="0" applyNumberFormat="1" applyBorder="1"/>
    <xf numFmtId="44" fontId="0" fillId="0" borderId="6" xfId="0" applyNumberFormat="1" applyBorder="1"/>
    <xf numFmtId="168" fontId="0" fillId="0" borderId="0" xfId="0" applyNumberFormat="1"/>
    <xf numFmtId="168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70" fontId="0" fillId="0" borderId="0" xfId="0" applyNumberFormat="1"/>
    <xf numFmtId="164" fontId="0" fillId="6" borderId="2" xfId="1" applyNumberFormat="1" applyFon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167" fontId="0" fillId="6" borderId="2" xfId="0" applyNumberFormat="1" applyFill="1" applyBorder="1"/>
    <xf numFmtId="167" fontId="0" fillId="4" borderId="2" xfId="0" applyNumberFormat="1" applyFill="1" applyBorder="1"/>
    <xf numFmtId="167" fontId="0" fillId="6" borderId="2" xfId="1" applyNumberFormat="1" applyFont="1" applyFill="1" applyBorder="1"/>
    <xf numFmtId="167" fontId="0" fillId="6" borderId="8" xfId="1" applyNumberFormat="1" applyFont="1" applyFill="1" applyBorder="1"/>
    <xf numFmtId="167" fontId="0" fillId="4" borderId="8" xfId="0" applyNumberFormat="1" applyFill="1" applyBorder="1"/>
    <xf numFmtId="167" fontId="0" fillId="6" borderId="10" xfId="0" applyNumberFormat="1" applyFill="1" applyBorder="1"/>
    <xf numFmtId="167" fontId="0" fillId="4" borderId="10" xfId="0" applyNumberFormat="1" applyFill="1" applyBorder="1"/>
    <xf numFmtId="167" fontId="0" fillId="6" borderId="11" xfId="1" applyNumberFormat="1" applyFont="1" applyFill="1" applyBorder="1"/>
    <xf numFmtId="167" fontId="0" fillId="4" borderId="11" xfId="1" applyNumberFormat="1" applyFont="1" applyFill="1" applyBorder="1"/>
    <xf numFmtId="167" fontId="0" fillId="0" borderId="0" xfId="0" applyNumberFormat="1"/>
    <xf numFmtId="167" fontId="0" fillId="0" borderId="9" xfId="0" applyNumberFormat="1" applyBorder="1"/>
    <xf numFmtId="44" fontId="0" fillId="0" borderId="0" xfId="2" applyNumberFormat="1" applyFont="1"/>
    <xf numFmtId="0" fontId="25" fillId="7" borderId="27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25" fillId="8" borderId="28" xfId="0" applyFont="1" applyFill="1" applyBorder="1" applyAlignment="1">
      <alignment horizontal="center" vertical="center"/>
    </xf>
    <xf numFmtId="0" fontId="0" fillId="0" borderId="21" xfId="0" applyBorder="1"/>
    <xf numFmtId="169" fontId="20" fillId="2" borderId="3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50" xfId="0" applyBorder="1"/>
    <xf numFmtId="0" fontId="0" fillId="0" borderId="15" xfId="0" applyBorder="1"/>
    <xf numFmtId="0" fontId="0" fillId="0" borderId="51" xfId="0" applyBorder="1"/>
    <xf numFmtId="0" fontId="0" fillId="0" borderId="22" xfId="0" applyBorder="1"/>
    <xf numFmtId="0" fontId="0" fillId="0" borderId="52" xfId="0" applyBorder="1"/>
    <xf numFmtId="0" fontId="25" fillId="7" borderId="3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6" fillId="2" borderId="38" xfId="0" applyFont="1" applyFill="1" applyBorder="1" applyAlignment="1">
      <alignment horizontal="center" vertical="center"/>
    </xf>
    <xf numFmtId="44" fontId="21" fillId="2" borderId="0" xfId="1" applyFont="1" applyFill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0" fontId="0" fillId="0" borderId="40" xfId="0" applyBorder="1"/>
    <xf numFmtId="0" fontId="0" fillId="0" borderId="0" xfId="0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0" fillId="0" borderId="37" xfId="0" applyBorder="1"/>
    <xf numFmtId="0" fontId="0" fillId="0" borderId="15" xfId="0" applyBorder="1" applyAlignment="1">
      <alignment horizontal="center" vertical="center"/>
    </xf>
    <xf numFmtId="44" fontId="0" fillId="2" borderId="0" xfId="0" applyNumberFormat="1" applyFill="1" applyAlignment="1">
      <alignment horizontal="center"/>
    </xf>
    <xf numFmtId="0" fontId="19" fillId="0" borderId="40" xfId="0" applyFont="1" applyBorder="1" applyAlignment="1">
      <alignment horizontal="center" vertical="center"/>
    </xf>
    <xf numFmtId="0" fontId="0" fillId="0" borderId="35" xfId="0" applyBorder="1"/>
    <xf numFmtId="0" fontId="0" fillId="0" borderId="34" xfId="0" applyBorder="1"/>
    <xf numFmtId="0" fontId="0" fillId="0" borderId="16" xfId="0" applyBorder="1"/>
    <xf numFmtId="0" fontId="0" fillId="0" borderId="5" xfId="0" applyBorder="1"/>
    <xf numFmtId="0" fontId="0" fillId="0" borderId="18" xfId="0" applyBorder="1"/>
    <xf numFmtId="0" fontId="24" fillId="0" borderId="30" xfId="0" applyFont="1" applyBorder="1" applyAlignment="1">
      <alignment horizontal="center" vertical="center" wrapText="1"/>
    </xf>
    <xf numFmtId="0" fontId="0" fillId="0" borderId="20" xfId="0" applyBorder="1"/>
    <xf numFmtId="0" fontId="0" fillId="0" borderId="36" xfId="0" applyBorder="1"/>
    <xf numFmtId="0" fontId="2" fillId="0" borderId="4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25" fillId="9" borderId="29" xfId="0" applyFont="1" applyFill="1" applyBorder="1" applyAlignment="1">
      <alignment horizontal="center" vertical="center"/>
    </xf>
    <xf numFmtId="0" fontId="25" fillId="8" borderId="29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 wrapText="1"/>
    </xf>
    <xf numFmtId="0" fontId="0" fillId="0" borderId="54" xfId="0" applyBorder="1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4" fontId="21" fillId="6" borderId="0" xfId="0" applyNumberFormat="1" applyFont="1" applyFill="1" applyAlignment="1">
      <alignment horizontal="center"/>
    </xf>
    <xf numFmtId="0" fontId="30" fillId="9" borderId="29" xfId="0" applyFont="1" applyFill="1" applyBorder="1" applyAlignment="1">
      <alignment horizontal="center" vertical="center" wrapText="1"/>
    </xf>
    <xf numFmtId="44" fontId="21" fillId="6" borderId="28" xfId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left" vertical="center"/>
    </xf>
    <xf numFmtId="44" fontId="21" fillId="6" borderId="0" xfId="1" applyFont="1" applyFill="1" applyAlignment="1">
      <alignment horizontal="center" vertical="center"/>
    </xf>
    <xf numFmtId="0" fontId="23" fillId="0" borderId="0" xfId="0" applyFont="1" applyAlignment="1">
      <alignment horizontal="left" vertical="top"/>
    </xf>
    <xf numFmtId="0" fontId="10" fillId="0" borderId="24" xfId="0" applyFont="1" applyBorder="1" applyAlignment="1">
      <alignment horizontal="center" vertical="center"/>
    </xf>
    <xf numFmtId="0" fontId="26" fillId="9" borderId="36" xfId="0" applyFont="1" applyFill="1" applyBorder="1" applyAlignment="1">
      <alignment horizontal="center" vertical="center"/>
    </xf>
    <xf numFmtId="0" fontId="25" fillId="7" borderId="28" xfId="0" applyFont="1" applyFill="1" applyBorder="1" applyAlignment="1">
      <alignment horizontal="center" vertical="center"/>
    </xf>
    <xf numFmtId="44" fontId="21" fillId="2" borderId="45" xfId="1" applyFont="1" applyFill="1" applyBorder="1" applyAlignment="1">
      <alignment horizontal="center"/>
    </xf>
    <xf numFmtId="0" fontId="0" fillId="0" borderId="45" xfId="0" applyBorder="1"/>
    <xf numFmtId="0" fontId="25" fillId="8" borderId="32" xfId="0" applyFont="1" applyFill="1" applyBorder="1" applyAlignment="1">
      <alignment horizontal="center" vertical="center"/>
    </xf>
    <xf numFmtId="0" fontId="25" fillId="7" borderId="4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44" fontId="21" fillId="6" borderId="45" xfId="1" applyFont="1" applyFill="1" applyBorder="1" applyAlignment="1">
      <alignment horizontal="center" vertical="center"/>
    </xf>
    <xf numFmtId="44" fontId="21" fillId="2" borderId="13" xfId="1" applyFont="1" applyFill="1" applyBorder="1" applyAlignment="1">
      <alignment horizontal="center" vertical="center"/>
    </xf>
    <xf numFmtId="14" fontId="12" fillId="2" borderId="38" xfId="0" applyNumberFormat="1" applyFont="1" applyFill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0" fillId="0" borderId="17" xfId="0" applyBorder="1"/>
    <xf numFmtId="14" fontId="20" fillId="2" borderId="38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24" fillId="0" borderId="29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7" fillId="8" borderId="19" xfId="0" applyFont="1" applyFill="1" applyBorder="1" applyAlignment="1">
      <alignment horizontal="center" vertical="center" textRotation="255" wrapText="1"/>
    </xf>
    <xf numFmtId="0" fontId="25" fillId="7" borderId="39" xfId="0" applyFont="1" applyFill="1" applyBorder="1" applyAlignment="1">
      <alignment horizontal="center" vertical="center"/>
    </xf>
    <xf numFmtId="0" fontId="0" fillId="0" borderId="53" xfId="0" applyBorder="1"/>
    <xf numFmtId="0" fontId="13" fillId="0" borderId="28" xfId="0" applyFont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/>
    </xf>
    <xf numFmtId="44" fontId="21" fillId="6" borderId="28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14" fontId="12" fillId="2" borderId="28" xfId="0" applyNumberFormat="1" applyFont="1" applyFill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 vertical="center"/>
    </xf>
    <xf numFmtId="0" fontId="28" fillId="9" borderId="29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0" fontId="18" fillId="0" borderId="23" xfId="0" applyFont="1" applyBorder="1" applyAlignment="1">
      <alignment horizontal="center" vertical="center"/>
    </xf>
    <xf numFmtId="0" fontId="0" fillId="0" borderId="49" xfId="0" applyBorder="1"/>
    <xf numFmtId="167" fontId="20" fillId="6" borderId="38" xfId="0" applyNumberFormat="1" applyFont="1" applyFill="1" applyBorder="1" applyAlignment="1">
      <alignment horizontal="center" vertical="center"/>
    </xf>
    <xf numFmtId="0" fontId="16" fillId="0" borderId="28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/>
  </cellXfs>
  <cellStyles count="7">
    <cellStyle name="Hyperlink" xfId="3"/>
    <cellStyle name="Hyperlink 2" xfId="6"/>
    <cellStyle name="Moeda" xfId="1" builtinId="4"/>
    <cellStyle name="Moeda 2" xfId="4"/>
    <cellStyle name="Normal" xfId="0" builtinId="0"/>
    <cellStyle name="Porcentagem" xfId="2" builtinId="5"/>
    <cellStyle name="Porcentagem 2" xfId="5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" formatCode="#,##0"/>
      <fill>
        <patternFill patternType="solid">
          <fgColor indexed="64"/>
          <bgColor theme="5" tint="0.59999389629810485"/>
        </patternFill>
      </fill>
      <alignment horizontal="left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59999389629810485"/>
        </patternFill>
      </fill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59999389629810485"/>
        </patternFill>
      </fill>
    </dxf>
    <dxf>
      <numFmt numFmtId="34" formatCode="_-&quot;R$&quot;\ * #,##0.00_-;\-&quot;R$&quot;\ * #,##0.00_-;_-&quot;R$&quot;\ * &quot;-&quot;??_-;_-@_-"/>
      <alignment horizontal="left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a1" displayName="Tabela1" ref="B6:C61" totalsRowShown="0">
  <autoFilter ref="B6:C61"/>
  <tableColumns count="2">
    <tableColumn id="1" name="A" dataDxfId="37"/>
    <tableColumn id="2" name="Coluna1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E6:F10" totalsRowShown="0" dataDxfId="35">
  <autoFilter ref="E6:F10"/>
  <sortState ref="E7:F18">
    <sortCondition ref="E6:E18"/>
  </sortState>
  <tableColumns count="2">
    <tableColumn id="1" name="B" dataDxfId="34"/>
    <tableColumn id="2" name="Coluna1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T109"/>
  <sheetViews>
    <sheetView showGridLines="0" topLeftCell="A22" zoomScale="40" zoomScaleNormal="40" zoomScaleSheetLayoutView="40" zoomScalePageLayoutView="21" workbookViewId="0">
      <selection activeCell="Y16" sqref="Y16"/>
    </sheetView>
  </sheetViews>
  <sheetFormatPr defaultRowHeight="15" x14ac:dyDescent="0.25"/>
  <cols>
    <col min="1" max="1" width="3.42578125" style="150" customWidth="1"/>
    <col min="3" max="3" width="13.7109375" style="150" customWidth="1"/>
    <col min="4" max="4" width="24.42578125" style="150" customWidth="1"/>
    <col min="6" max="6" width="10.42578125" style="150" customWidth="1"/>
    <col min="7" max="7" width="15.28515625" style="150" customWidth="1"/>
    <col min="8" max="8" width="18.140625" style="150" customWidth="1"/>
    <col min="9" max="9" width="16.42578125" style="150" customWidth="1"/>
    <col min="10" max="10" width="11.42578125" style="150" customWidth="1"/>
    <col min="11" max="11" width="15" style="150" customWidth="1"/>
    <col min="12" max="12" width="17.28515625" style="150" customWidth="1"/>
    <col min="13" max="13" width="6.7109375" style="150" customWidth="1"/>
    <col min="14" max="14" width="4.85546875" style="150" customWidth="1"/>
    <col min="15" max="15" width="17.140625" style="150" customWidth="1"/>
    <col min="16" max="16" width="16.5703125" style="150" customWidth="1"/>
    <col min="17" max="17" width="15.85546875" style="150" customWidth="1"/>
    <col min="18" max="18" width="13.28515625" style="150" customWidth="1"/>
    <col min="19" max="19" width="5.28515625" style="150" customWidth="1"/>
    <col min="20" max="20" width="12.85546875" style="150" bestFit="1" customWidth="1"/>
    <col min="21" max="23" width="13.5703125" style="150" customWidth="1"/>
    <col min="24" max="24" width="7.5703125" style="150" customWidth="1"/>
    <col min="25" max="25" width="17.42578125" style="150" customWidth="1"/>
    <col min="26" max="26" width="18.28515625" style="150" customWidth="1"/>
    <col min="27" max="27" width="19.28515625" style="150" customWidth="1"/>
    <col min="28" max="29" width="15.140625" style="150" bestFit="1" customWidth="1"/>
    <col min="30" max="44" width="13.5703125" style="150" customWidth="1"/>
    <col min="45" max="45" width="20.28515625" style="150" customWidth="1"/>
    <col min="46" max="46" width="13.85546875" style="150" customWidth="1"/>
  </cols>
  <sheetData>
    <row r="1" spans="3:29" ht="15" customHeight="1" thickBot="1" x14ac:dyDescent="0.3"/>
    <row r="2" spans="3:29" ht="24.75" customHeight="1" x14ac:dyDescent="0.25">
      <c r="F2" s="283" t="s">
        <v>0</v>
      </c>
      <c r="G2" s="230"/>
      <c r="H2" s="230"/>
      <c r="I2" s="230"/>
      <c r="J2" s="230"/>
      <c r="K2" s="230"/>
      <c r="L2" s="231"/>
      <c r="M2" s="229" t="s">
        <v>1</v>
      </c>
      <c r="N2" s="230"/>
      <c r="O2" s="230"/>
      <c r="P2" s="230"/>
      <c r="Q2" s="230"/>
      <c r="R2" s="231"/>
    </row>
    <row r="3" spans="3:29" ht="15" customHeight="1" x14ac:dyDescent="0.25">
      <c r="F3" s="306" t="s">
        <v>2</v>
      </c>
      <c r="G3" s="254"/>
      <c r="H3" s="254"/>
      <c r="I3" s="254"/>
      <c r="J3" s="254"/>
      <c r="K3" s="254"/>
      <c r="L3" s="307"/>
      <c r="M3" s="253" t="s">
        <v>3</v>
      </c>
      <c r="N3" s="254"/>
      <c r="O3" s="254"/>
      <c r="P3" s="254"/>
      <c r="Q3" s="254"/>
      <c r="R3" s="255"/>
    </row>
    <row r="4" spans="3:29" ht="15" customHeight="1" x14ac:dyDescent="0.25">
      <c r="F4" s="237"/>
      <c r="G4" s="235"/>
      <c r="H4" s="235"/>
      <c r="I4" s="235"/>
      <c r="J4" s="235"/>
      <c r="K4" s="235"/>
      <c r="L4" s="236"/>
      <c r="M4" s="235"/>
      <c r="N4" s="235"/>
      <c r="O4" s="235"/>
      <c r="P4" s="235"/>
      <c r="Q4" s="235"/>
      <c r="R4" s="256"/>
    </row>
    <row r="5" spans="3:29" ht="15" customHeight="1" thickBot="1" x14ac:dyDescent="0.3">
      <c r="F5" s="238"/>
      <c r="G5" s="239"/>
      <c r="H5" s="239"/>
      <c r="I5" s="239"/>
      <c r="J5" s="239"/>
      <c r="K5" s="239"/>
      <c r="L5" s="240"/>
      <c r="M5" s="257"/>
      <c r="N5" s="257"/>
      <c r="O5" s="257"/>
      <c r="P5" s="257"/>
      <c r="Q5" s="257"/>
      <c r="R5" s="258"/>
    </row>
    <row r="6" spans="3:29" ht="12.75" customHeight="1" thickBot="1" x14ac:dyDescent="0.3"/>
    <row r="7" spans="3:29" ht="30.75" customHeight="1" thickBot="1" x14ac:dyDescent="0.3">
      <c r="I7" s="272" t="s">
        <v>4</v>
      </c>
      <c r="J7" s="261"/>
      <c r="K7" s="278" t="s">
        <v>5</v>
      </c>
      <c r="L7" s="260"/>
      <c r="M7" s="261"/>
      <c r="O7" s="294" t="s">
        <v>6</v>
      </c>
      <c r="P7" s="242"/>
      <c r="Q7" s="232" t="s">
        <v>7</v>
      </c>
      <c r="R7" s="233"/>
    </row>
    <row r="8" spans="3:29" ht="30" customHeight="1" thickBot="1" x14ac:dyDescent="0.6">
      <c r="C8" s="68" t="s">
        <v>8</v>
      </c>
      <c r="I8" s="267">
        <v>57161534</v>
      </c>
      <c r="J8" s="268"/>
      <c r="K8" s="297">
        <v>7980873</v>
      </c>
      <c r="L8" s="242"/>
      <c r="M8" s="243"/>
      <c r="O8" s="237"/>
      <c r="P8" s="235"/>
      <c r="Q8" s="301" t="str">
        <f>dados!J24</f>
        <v>28/03/2024</v>
      </c>
      <c r="R8" s="243"/>
      <c r="V8" s="49"/>
      <c r="AB8" s="49"/>
      <c r="AC8" s="49"/>
    </row>
    <row r="9" spans="3:29" ht="27.75" customHeight="1" thickBot="1" x14ac:dyDescent="0.3">
      <c r="I9" s="267">
        <v>57067766</v>
      </c>
      <c r="J9" s="268"/>
      <c r="K9" s="289"/>
      <c r="L9" s="257"/>
      <c r="M9" s="258"/>
      <c r="O9" s="237"/>
      <c r="P9" s="235"/>
      <c r="Q9" s="237"/>
      <c r="R9" s="256"/>
      <c r="V9" s="49"/>
      <c r="AB9" s="49"/>
      <c r="AC9" s="49"/>
    </row>
    <row r="10" spans="3:29" ht="27.75" customHeight="1" thickBot="1" x14ac:dyDescent="0.6">
      <c r="C10" s="68" t="s">
        <v>9</v>
      </c>
      <c r="K10" s="263"/>
      <c r="L10" s="235"/>
      <c r="M10" s="235"/>
      <c r="O10" s="237"/>
      <c r="P10" s="235"/>
      <c r="Q10" s="289"/>
      <c r="R10" s="258"/>
      <c r="S10" s="49"/>
      <c r="V10" s="49"/>
      <c r="AB10" s="49"/>
      <c r="AC10" s="49"/>
    </row>
    <row r="11" spans="3:29" ht="30" customHeight="1" thickBot="1" x14ac:dyDescent="0.6">
      <c r="C11" s="68" t="s">
        <v>10</v>
      </c>
      <c r="K11" s="160"/>
      <c r="O11" s="237"/>
      <c r="P11" s="235"/>
      <c r="Q11" s="266" t="s">
        <v>11</v>
      </c>
      <c r="R11" s="261"/>
      <c r="V11" s="49"/>
      <c r="AB11" s="49"/>
      <c r="AC11" s="49"/>
    </row>
    <row r="12" spans="3:29" ht="30" customHeight="1" thickBot="1" x14ac:dyDescent="0.6">
      <c r="C12" s="68" t="s">
        <v>12</v>
      </c>
      <c r="I12" s="304" t="s">
        <v>13</v>
      </c>
      <c r="J12" s="261"/>
      <c r="K12" s="265" t="s">
        <v>14</v>
      </c>
      <c r="L12" s="260"/>
      <c r="M12" s="261"/>
      <c r="O12" s="237"/>
      <c r="P12" s="235"/>
      <c r="Q12" s="287" t="str">
        <f>dados!K24</f>
        <v>26/04/2024</v>
      </c>
      <c r="R12" s="236"/>
      <c r="V12" s="49"/>
      <c r="Z12" s="49"/>
      <c r="AA12" s="49"/>
      <c r="AB12" s="49"/>
      <c r="AC12" s="49"/>
    </row>
    <row r="13" spans="3:29" ht="30" customHeight="1" thickBot="1" x14ac:dyDescent="0.3">
      <c r="C13" s="276" t="s">
        <v>15</v>
      </c>
      <c r="D13" s="235"/>
      <c r="E13" s="235"/>
      <c r="F13" s="235"/>
      <c r="G13" s="235"/>
      <c r="I13" s="267">
        <v>57168334</v>
      </c>
      <c r="J13" s="268"/>
      <c r="K13" s="297">
        <v>7980873</v>
      </c>
      <c r="L13" s="242"/>
      <c r="M13" s="243"/>
      <c r="O13" s="237"/>
      <c r="P13" s="235"/>
      <c r="Q13" s="238"/>
      <c r="R13" s="240"/>
      <c r="V13" s="49"/>
      <c r="Z13" s="49"/>
      <c r="AA13" s="49"/>
      <c r="AB13" s="49"/>
      <c r="AC13" s="49"/>
    </row>
    <row r="14" spans="3:29" ht="26.25" customHeight="1" thickBot="1" x14ac:dyDescent="0.3">
      <c r="C14" s="235"/>
      <c r="D14" s="235"/>
      <c r="E14" s="235"/>
      <c r="F14" s="235"/>
      <c r="G14" s="235"/>
      <c r="I14" s="267">
        <v>57067766</v>
      </c>
      <c r="J14" s="268"/>
      <c r="K14" s="289"/>
      <c r="L14" s="257"/>
      <c r="M14" s="258"/>
      <c r="O14" s="237"/>
      <c r="P14" s="235"/>
      <c r="Q14" s="266" t="s">
        <v>16</v>
      </c>
      <c r="R14" s="261"/>
      <c r="V14" s="49"/>
      <c r="Z14" s="49"/>
      <c r="AA14" s="49"/>
      <c r="AB14" s="49"/>
      <c r="AC14" s="49"/>
    </row>
    <row r="15" spans="3:29" ht="26.25" customHeight="1" x14ac:dyDescent="0.25">
      <c r="K15" s="263"/>
      <c r="L15" s="235"/>
      <c r="M15" s="235"/>
      <c r="O15" s="237"/>
      <c r="P15" s="235"/>
      <c r="Q15" s="244" t="str">
        <f>dados!L24</f>
        <v>29</v>
      </c>
      <c r="R15" s="236"/>
      <c r="V15" s="49"/>
      <c r="Z15" s="49"/>
      <c r="AA15" s="49"/>
      <c r="AB15" s="49"/>
      <c r="AC15" s="49"/>
    </row>
    <row r="16" spans="3:29" ht="11.25" customHeight="1" thickBot="1" x14ac:dyDescent="0.3">
      <c r="K16" s="160"/>
      <c r="O16" s="237"/>
      <c r="P16" s="235"/>
      <c r="Q16" s="238"/>
      <c r="R16" s="240"/>
      <c r="S16" s="49"/>
      <c r="T16" s="49"/>
      <c r="Z16" s="49"/>
      <c r="AA16" s="49"/>
      <c r="AB16" s="49"/>
      <c r="AC16" s="49"/>
    </row>
    <row r="17" spans="2:35" ht="26.25" customHeight="1" thickBot="1" x14ac:dyDescent="0.3">
      <c r="B17" s="265" t="s">
        <v>17</v>
      </c>
      <c r="C17" s="260"/>
      <c r="D17" s="261"/>
      <c r="E17" s="265" t="s">
        <v>18</v>
      </c>
      <c r="F17" s="260"/>
      <c r="G17" s="260"/>
      <c r="H17" s="261"/>
      <c r="I17" s="265" t="s">
        <v>19</v>
      </c>
      <c r="J17" s="260"/>
      <c r="K17" s="260"/>
      <c r="L17" s="260"/>
      <c r="M17" s="261"/>
      <c r="O17" s="237"/>
      <c r="P17" s="235"/>
      <c r="Q17" s="266" t="s">
        <v>20</v>
      </c>
      <c r="R17" s="261"/>
      <c r="S17" s="49"/>
      <c r="Z17" s="49"/>
      <c r="AA17" s="49"/>
      <c r="AB17" s="49"/>
      <c r="AC17" s="49"/>
    </row>
    <row r="18" spans="2:35" ht="11.25" customHeight="1" x14ac:dyDescent="0.25">
      <c r="B18" s="234" t="str">
        <f>dados!J27</f>
        <v>04/2024</v>
      </c>
      <c r="C18" s="235"/>
      <c r="D18" s="236"/>
      <c r="E18" s="290" t="str">
        <f>dados!K27</f>
        <v>17/05/2024</v>
      </c>
      <c r="F18" s="235"/>
      <c r="G18" s="235"/>
      <c r="H18" s="236"/>
      <c r="I18" s="308">
        <f>Q60</f>
        <v>9670.4143191332732</v>
      </c>
      <c r="J18" s="235"/>
      <c r="K18" s="235"/>
      <c r="L18" s="235"/>
      <c r="M18" s="236"/>
      <c r="O18" s="237"/>
      <c r="P18" s="235"/>
      <c r="Q18" s="287" t="str">
        <f>dados!M24</f>
        <v>28/05/2024</v>
      </c>
      <c r="R18" s="236"/>
      <c r="S18" s="49"/>
      <c r="Z18" s="49"/>
      <c r="AA18" s="49"/>
      <c r="AB18" s="49"/>
      <c r="AC18" s="49"/>
    </row>
    <row r="19" spans="2:35" ht="15" customHeight="1" x14ac:dyDescent="0.25">
      <c r="B19" s="237"/>
      <c r="C19" s="235"/>
      <c r="D19" s="236"/>
      <c r="E19" s="237"/>
      <c r="F19" s="235"/>
      <c r="G19" s="235"/>
      <c r="H19" s="236"/>
      <c r="I19" s="237"/>
      <c r="J19" s="235"/>
      <c r="K19" s="235"/>
      <c r="L19" s="235"/>
      <c r="M19" s="236"/>
      <c r="O19" s="237"/>
      <c r="P19" s="235"/>
      <c r="Q19" s="237"/>
      <c r="R19" s="236"/>
      <c r="S19" s="49"/>
      <c r="T19" s="49"/>
      <c r="Z19" s="49"/>
      <c r="AA19" s="49"/>
      <c r="AB19" s="49"/>
      <c r="AC19" s="49"/>
    </row>
    <row r="20" spans="2:35" ht="15" customHeight="1" thickBot="1" x14ac:dyDescent="0.3">
      <c r="B20" s="238"/>
      <c r="C20" s="239"/>
      <c r="D20" s="240"/>
      <c r="E20" s="238"/>
      <c r="F20" s="239"/>
      <c r="G20" s="239"/>
      <c r="H20" s="240"/>
      <c r="I20" s="238"/>
      <c r="J20" s="239"/>
      <c r="K20" s="239"/>
      <c r="L20" s="239"/>
      <c r="M20" s="240"/>
      <c r="O20" s="289"/>
      <c r="P20" s="257"/>
      <c r="Q20" s="238"/>
      <c r="R20" s="240"/>
      <c r="S20" s="49"/>
      <c r="T20" s="49"/>
    </row>
    <row r="21" spans="2:35" ht="10.5" customHeight="1" x14ac:dyDescent="0.25">
      <c r="P21" s="49"/>
      <c r="Q21" s="49"/>
      <c r="R21" s="49"/>
      <c r="S21" s="49"/>
      <c r="T21" s="49"/>
    </row>
    <row r="22" spans="2:35" ht="10.5" customHeight="1" thickBot="1" x14ac:dyDescent="0.3">
      <c r="AD22" s="45"/>
      <c r="AE22" s="154"/>
    </row>
    <row r="23" spans="2:35" ht="21.75" customHeight="1" thickBot="1" x14ac:dyDescent="0.3">
      <c r="B23" s="279" t="s">
        <v>21</v>
      </c>
      <c r="C23" s="260"/>
      <c r="D23" s="260"/>
      <c r="E23" s="260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33"/>
      <c r="AD23" s="45"/>
      <c r="AE23" s="154"/>
    </row>
    <row r="24" spans="2:35" ht="34.5" customHeight="1" thickBot="1" x14ac:dyDescent="0.3">
      <c r="B24" s="57" t="s">
        <v>22</v>
      </c>
      <c r="C24" s="159" t="s">
        <v>23</v>
      </c>
      <c r="D24" s="259" t="s">
        <v>24</v>
      </c>
      <c r="E24" s="260"/>
      <c r="F24" s="261"/>
      <c r="G24" s="159" t="s">
        <v>25</v>
      </c>
      <c r="H24" s="159" t="s">
        <v>26</v>
      </c>
      <c r="I24" s="58" t="s">
        <v>27</v>
      </c>
      <c r="J24" s="259" t="s">
        <v>28</v>
      </c>
      <c r="K24" s="261"/>
      <c r="L24" s="159" t="s">
        <v>29</v>
      </c>
      <c r="M24" s="259" t="s">
        <v>30</v>
      </c>
      <c r="N24" s="260"/>
      <c r="O24" s="261"/>
      <c r="P24" s="159" t="s">
        <v>31</v>
      </c>
      <c r="Q24" s="159" t="s">
        <v>32</v>
      </c>
      <c r="R24" s="69" t="s">
        <v>33</v>
      </c>
    </row>
    <row r="25" spans="2:35" ht="21.75" customHeight="1" x14ac:dyDescent="0.25">
      <c r="B25" s="53">
        <v>1</v>
      </c>
      <c r="C25" s="77" t="s">
        <v>34</v>
      </c>
      <c r="D25" s="274" t="s">
        <v>35</v>
      </c>
      <c r="E25" s="242"/>
      <c r="F25" s="242"/>
      <c r="G25" s="78" t="s">
        <v>36</v>
      </c>
      <c r="H25" s="79">
        <f>VLOOKUP(1,Tabela1[],2,FALSE)</f>
        <v>13298</v>
      </c>
      <c r="I25" s="167">
        <f>VLOOKUP(7,Tabela1[],2,FALSE)</f>
        <v>0.38156000000000001</v>
      </c>
      <c r="J25" s="286">
        <f>VLOOKUP(13,Tabela1[],2,FALSE)</f>
        <v>5074.01</v>
      </c>
      <c r="K25" s="242"/>
      <c r="L25" s="167">
        <f>VLOOKUP(20,Tabela1[],2,FALSE)</f>
        <v>144.91</v>
      </c>
      <c r="M25" s="286">
        <f>VLOOKUP(27,Tabela1[],2,FALSE)</f>
        <v>5074.01</v>
      </c>
      <c r="N25" s="242"/>
      <c r="O25" s="242"/>
      <c r="P25" s="80">
        <f>VLOOKUP(34,Tabela1[],2,FALSE)</f>
        <v>0.2</v>
      </c>
      <c r="Q25" s="167">
        <f>VLOOKUP(41,Tabela1[],2,FALSE)</f>
        <v>1014.8</v>
      </c>
      <c r="R25" s="168">
        <f>VLOOKUP(48,Tabela1[],2,FALSE)</f>
        <v>0.29435</v>
      </c>
    </row>
    <row r="26" spans="2:35" ht="21.75" customHeight="1" x14ac:dyDescent="0.25">
      <c r="B26" s="163">
        <v>2</v>
      </c>
      <c r="C26" s="45" t="s">
        <v>34</v>
      </c>
      <c r="D26" s="269" t="s">
        <v>37</v>
      </c>
      <c r="E26" s="235"/>
      <c r="F26" s="235"/>
      <c r="G26" s="59" t="s">
        <v>36</v>
      </c>
      <c r="H26" s="72">
        <f>VLOOKUP(2,Tabela1[],2,FALSE)</f>
        <v>13298</v>
      </c>
      <c r="I26" s="169">
        <f>VLOOKUP(8,Tabela1[],2,FALSE)</f>
        <v>0.57769999999999999</v>
      </c>
      <c r="J26" s="245">
        <f>VLOOKUP(14,Tabela1[],2,FALSE)</f>
        <v>7682.28</v>
      </c>
      <c r="K26" s="235"/>
      <c r="L26" s="169">
        <f>VLOOKUP(21,Tabela1[],2,FALSE)</f>
        <v>219.39</v>
      </c>
      <c r="M26" s="245">
        <f>VLOOKUP(28,Tabela1[],2,FALSE)</f>
        <v>7682.28</v>
      </c>
      <c r="N26" s="235"/>
      <c r="O26" s="235"/>
      <c r="P26" s="81">
        <f>VLOOKUP(35,Tabela1[],2,FALSE)</f>
        <v>0.2</v>
      </c>
      <c r="Q26" s="169">
        <f>VLOOKUP(42,Tabela1[],2,FALSE)</f>
        <v>1536.45</v>
      </c>
      <c r="R26" s="170">
        <f>VLOOKUP(49,Tabela1[],2,FALSE)</f>
        <v>0.44567000000000001</v>
      </c>
    </row>
    <row r="27" spans="2:35" ht="21.75" customHeight="1" x14ac:dyDescent="0.25">
      <c r="B27" s="163">
        <v>3</v>
      </c>
      <c r="C27" s="45" t="s">
        <v>34</v>
      </c>
      <c r="D27" s="269" t="s">
        <v>38</v>
      </c>
      <c r="E27" s="235"/>
      <c r="F27" s="235"/>
      <c r="G27" s="61"/>
      <c r="H27" s="73"/>
      <c r="I27" s="171"/>
      <c r="J27" s="245">
        <f>VLOOKUP(19,Tabela1[],2,FALSE)</f>
        <v>139.02000000000001</v>
      </c>
      <c r="K27" s="235"/>
      <c r="L27" s="73"/>
      <c r="M27" s="300"/>
      <c r="N27" s="235"/>
      <c r="O27" s="235"/>
      <c r="P27" s="82"/>
      <c r="Q27" s="73"/>
      <c r="R27" s="74"/>
    </row>
    <row r="28" spans="2:35" ht="21.75" customHeight="1" x14ac:dyDescent="0.25">
      <c r="B28" s="163">
        <v>4</v>
      </c>
      <c r="C28" s="45" t="s">
        <v>34</v>
      </c>
      <c r="D28" s="161" t="s">
        <v>39</v>
      </c>
      <c r="E28" s="161"/>
      <c r="F28" s="161"/>
      <c r="G28" s="61"/>
      <c r="H28" s="73"/>
      <c r="I28" s="171"/>
      <c r="J28" s="245">
        <f>dados!K18</f>
        <v>0</v>
      </c>
      <c r="K28" s="235"/>
      <c r="L28" s="73"/>
      <c r="M28" s="165"/>
      <c r="N28" s="165"/>
      <c r="O28" s="165"/>
      <c r="P28" s="82"/>
      <c r="Q28" s="73"/>
      <c r="R28" s="74"/>
    </row>
    <row r="29" spans="2:35" ht="21.75" customHeight="1" thickBot="1" x14ac:dyDescent="0.3">
      <c r="B29" s="151"/>
      <c r="I29" s="46"/>
      <c r="J29" s="172"/>
      <c r="K29" s="172"/>
      <c r="L29" s="46"/>
      <c r="M29" s="46"/>
      <c r="N29" s="46"/>
      <c r="O29" s="46"/>
      <c r="P29" s="46"/>
      <c r="Q29" s="46"/>
      <c r="R29" s="47"/>
      <c r="AI29" s="8"/>
    </row>
    <row r="30" spans="2:35" ht="21.75" customHeight="1" thickBot="1" x14ac:dyDescent="0.3">
      <c r="B30" s="151"/>
      <c r="F30" s="70" t="s">
        <v>40</v>
      </c>
      <c r="G30" s="71" t="s">
        <v>36</v>
      </c>
      <c r="H30" s="75">
        <f>H26</f>
        <v>13298</v>
      </c>
      <c r="I30" s="46"/>
      <c r="J30" s="299">
        <f>SUM(J25:K27)</f>
        <v>12895.310000000001</v>
      </c>
      <c r="K30" s="233"/>
      <c r="L30" s="46"/>
      <c r="M30" s="46"/>
      <c r="N30" s="46"/>
      <c r="O30" s="46"/>
      <c r="P30" s="46"/>
      <c r="Q30" s="46"/>
      <c r="R30" s="156"/>
      <c r="AI30" s="8"/>
    </row>
    <row r="31" spans="2:35" ht="12" customHeight="1" thickBot="1" x14ac:dyDescent="0.3">
      <c r="B31" s="164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8"/>
    </row>
    <row r="32" spans="2:35" ht="13.5" customHeight="1" thickBot="1" x14ac:dyDescent="0.3"/>
    <row r="33" spans="2:38" ht="21.75" customHeight="1" thickBot="1" x14ac:dyDescent="0.3">
      <c r="B33" s="295" t="s">
        <v>41</v>
      </c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96"/>
    </row>
    <row r="34" spans="2:38" ht="31.5" customHeight="1" thickBot="1" x14ac:dyDescent="0.3">
      <c r="B34" s="292" t="s">
        <v>42</v>
      </c>
      <c r="C34" s="261"/>
      <c r="D34" s="259" t="s">
        <v>24</v>
      </c>
      <c r="E34" s="260"/>
      <c r="F34" s="261"/>
      <c r="G34" s="159" t="s">
        <v>25</v>
      </c>
      <c r="H34" s="159" t="s">
        <v>26</v>
      </c>
      <c r="I34" s="58" t="s">
        <v>27</v>
      </c>
      <c r="J34" s="259" t="s">
        <v>28</v>
      </c>
      <c r="K34" s="261"/>
      <c r="L34" s="159" t="s">
        <v>29</v>
      </c>
      <c r="M34" s="259" t="s">
        <v>30</v>
      </c>
      <c r="N34" s="260"/>
      <c r="O34" s="261"/>
      <c r="P34" s="159" t="s">
        <v>31</v>
      </c>
      <c r="Q34" s="159" t="s">
        <v>32</v>
      </c>
      <c r="R34" s="69" t="s">
        <v>33</v>
      </c>
    </row>
    <row r="35" spans="2:38" ht="16.5" customHeight="1" x14ac:dyDescent="0.25">
      <c r="B35" s="262" t="s">
        <v>34</v>
      </c>
      <c r="C35" s="235"/>
      <c r="D35" s="248" t="s">
        <v>43</v>
      </c>
      <c r="E35" s="235"/>
      <c r="F35" s="235"/>
      <c r="G35" s="59" t="s">
        <v>36</v>
      </c>
      <c r="H35" s="102">
        <f>VLOOKUP(3,Tabela1[],2,FALSE)+VLOOKUP(5,Tabela1[],2,FALSE)+VLOOKUP(115,Tabela1[],2,FALSE)</f>
        <v>13198</v>
      </c>
      <c r="I35" s="173">
        <f>VLOOKUP(7,Tabela1[],2,FALSE)</f>
        <v>0.38156000000000001</v>
      </c>
      <c r="J35" s="275">
        <f>H35*I35</f>
        <v>5035.82888</v>
      </c>
      <c r="K35" s="235"/>
      <c r="L35" s="174">
        <f>J35*dados!$N$5</f>
        <v>143.81957524734875</v>
      </c>
      <c r="M35" s="271">
        <f>J35</f>
        <v>5035.82888</v>
      </c>
      <c r="N35" s="235"/>
      <c r="O35" s="235"/>
      <c r="P35" s="81">
        <f>VLOOKUP(34,Tabela1[],2,FALSE)</f>
        <v>0.2</v>
      </c>
      <c r="Q35" s="174">
        <f>M35*P35</f>
        <v>1007.1657760000001</v>
      </c>
      <c r="R35" s="175">
        <f>VLOOKUP(48,Tabela1[],2,FALSE)</f>
        <v>0.29435</v>
      </c>
      <c r="T35" s="176"/>
    </row>
    <row r="36" spans="2:38" ht="16.5" customHeight="1" x14ac:dyDescent="0.25">
      <c r="B36" s="262" t="s">
        <v>34</v>
      </c>
      <c r="C36" s="235"/>
      <c r="D36" s="248" t="s">
        <v>44</v>
      </c>
      <c r="E36" s="235"/>
      <c r="F36" s="235"/>
      <c r="G36" s="59" t="s">
        <v>36</v>
      </c>
      <c r="H36" s="102">
        <f>VLOOKUP(4,Tabela1[],2,FALSE)+VLOOKUP(115,Tabela1[],2,FALSE)+VLOOKUP(6,Tabela1[],2,FALSE)</f>
        <v>13198</v>
      </c>
      <c r="I36" s="173">
        <f>VLOOKUP(8,Tabela1[],2,FALSE)</f>
        <v>0.57769999999999999</v>
      </c>
      <c r="J36" s="275">
        <f>H36*I36</f>
        <v>7624.4845999999998</v>
      </c>
      <c r="K36" s="235"/>
      <c r="L36" s="174">
        <f>J36*dados!$N$5</f>
        <v>217.74968188592453</v>
      </c>
      <c r="M36" s="271">
        <f>J36</f>
        <v>7624.4845999999998</v>
      </c>
      <c r="N36" s="235"/>
      <c r="O36" s="235"/>
      <c r="P36" s="81">
        <f>VLOOKUP(34,Tabela1[],2,FALSE)</f>
        <v>0.2</v>
      </c>
      <c r="Q36" s="174">
        <f>M36*P36</f>
        <v>1524.8969200000001</v>
      </c>
      <c r="R36" s="175">
        <f>VLOOKUP(49,Tabela1[],2,FALSE)</f>
        <v>0.44567000000000001</v>
      </c>
    </row>
    <row r="37" spans="2:38" ht="16.5" customHeight="1" x14ac:dyDescent="0.25">
      <c r="B37" s="262" t="s">
        <v>34</v>
      </c>
      <c r="C37" s="235"/>
      <c r="D37" s="248" t="s">
        <v>45</v>
      </c>
      <c r="E37" s="235"/>
      <c r="F37" s="235"/>
      <c r="G37" s="59" t="s">
        <v>36</v>
      </c>
      <c r="H37" s="102">
        <f>VLOOKUP(3,Tabela1[],2,FALSE)+VLOOKUP(5,Tabela1[],2,FALSE)+VLOOKUP(115,Tabela1[],2,FALSE)</f>
        <v>13198</v>
      </c>
      <c r="I37" s="173">
        <f>VLOOKUP(9,Tabela1[],2,FALSE)</f>
        <v>-0.38155</v>
      </c>
      <c r="J37" s="275">
        <v>0</v>
      </c>
      <c r="K37" s="235"/>
      <c r="L37" s="174">
        <f>J37*dados!$N$5</f>
        <v>0</v>
      </c>
      <c r="M37" s="271">
        <f>J37</f>
        <v>0</v>
      </c>
      <c r="N37" s="235"/>
      <c r="O37" s="235"/>
      <c r="P37" s="81">
        <f>VLOOKUP(34,Tabela1[],2,FALSE)</f>
        <v>0.2</v>
      </c>
      <c r="Q37" s="174">
        <f>M37*P37</f>
        <v>0</v>
      </c>
      <c r="R37" s="175">
        <f>VLOOKUP(48,Tabela1[],2,FALSE)</f>
        <v>0.29435</v>
      </c>
    </row>
    <row r="38" spans="2:38" ht="16.5" customHeight="1" x14ac:dyDescent="0.25">
      <c r="B38" s="262" t="s">
        <v>34</v>
      </c>
      <c r="C38" s="235"/>
      <c r="D38" s="303" t="s">
        <v>46</v>
      </c>
      <c r="E38" s="281"/>
      <c r="F38" s="281"/>
      <c r="G38" s="93" t="s">
        <v>36</v>
      </c>
      <c r="H38" s="103">
        <f>VLOOKUP(4,Tabela1[],2,FALSE)+VLOOKUP(115,Tabela1[],2,FALSE)+VLOOKUP(6,Tabela1[],2,FALSE)</f>
        <v>13198</v>
      </c>
      <c r="I38" s="177">
        <f>VLOOKUP(10,Tabela1[],2,FALSE)</f>
        <v>-0.46215000000000001</v>
      </c>
      <c r="J38" s="285">
        <f>H38*I38</f>
        <v>-6099.4557000000004</v>
      </c>
      <c r="K38" s="281"/>
      <c r="L38" s="178">
        <f>J38*dados!$N$5</f>
        <v>-174.19597625684617</v>
      </c>
      <c r="M38" s="280">
        <v>0</v>
      </c>
      <c r="N38" s="281"/>
      <c r="O38" s="281"/>
      <c r="P38" s="94">
        <v>0</v>
      </c>
      <c r="Q38" s="179">
        <v>0</v>
      </c>
      <c r="R38" s="175">
        <f>VLOOKUP(49,Tabela1[],2,FALSE)</f>
        <v>0.44567000000000001</v>
      </c>
      <c r="AI38" s="176"/>
      <c r="AL38" s="176"/>
    </row>
    <row r="39" spans="2:38" ht="16.5" customHeight="1" x14ac:dyDescent="0.25">
      <c r="B39" s="83"/>
      <c r="C39" s="52"/>
      <c r="D39" s="162"/>
      <c r="E39" s="162"/>
      <c r="F39" s="162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84"/>
      <c r="AK39" s="176"/>
    </row>
    <row r="40" spans="2:38" ht="16.5" customHeight="1" x14ac:dyDescent="0.25">
      <c r="B40" s="262" t="s">
        <v>34</v>
      </c>
      <c r="C40" s="235"/>
      <c r="D40" s="248" t="s">
        <v>47</v>
      </c>
      <c r="E40" s="235"/>
      <c r="F40" s="235"/>
      <c r="G40" s="59" t="s">
        <v>36</v>
      </c>
      <c r="H40" s="107">
        <f>H35</f>
        <v>13198</v>
      </c>
      <c r="I40" s="180">
        <f>R42</f>
        <v>0.62901700000000005</v>
      </c>
      <c r="J40" s="275">
        <f>H40*I40</f>
        <v>8301.7663659999998</v>
      </c>
      <c r="K40" s="235"/>
      <c r="L40" s="161" t="s">
        <v>48</v>
      </c>
      <c r="M40" s="161"/>
      <c r="N40" s="181"/>
      <c r="O40" s="181"/>
      <c r="P40" s="61"/>
      <c r="Q40" s="85" t="s">
        <v>49</v>
      </c>
      <c r="R40" s="86">
        <v>0.15</v>
      </c>
    </row>
    <row r="41" spans="2:38" ht="16.5" customHeight="1" x14ac:dyDescent="0.25">
      <c r="B41" s="262" t="s">
        <v>34</v>
      </c>
      <c r="C41" s="235"/>
      <c r="D41" s="270" t="s">
        <v>32</v>
      </c>
      <c r="E41" s="235"/>
      <c r="F41" s="235"/>
      <c r="G41" s="61"/>
      <c r="H41" s="61"/>
      <c r="I41" s="61"/>
      <c r="J41" s="275">
        <f>Q35+Q36</f>
        <v>2532.062696</v>
      </c>
      <c r="K41" s="235"/>
      <c r="L41" s="64"/>
      <c r="M41" s="64"/>
      <c r="N41" s="61"/>
      <c r="O41" s="61"/>
      <c r="P41" s="61"/>
      <c r="Q41" s="63" t="s">
        <v>50</v>
      </c>
      <c r="R41" s="182">
        <f>R35+R36</f>
        <v>0.74002000000000001</v>
      </c>
    </row>
    <row r="42" spans="2:38" ht="16.5" customHeight="1" x14ac:dyDescent="0.25">
      <c r="B42" s="262" t="s">
        <v>34</v>
      </c>
      <c r="C42" s="235"/>
      <c r="D42" s="291" t="s">
        <v>29</v>
      </c>
      <c r="E42" s="235"/>
      <c r="F42" s="235"/>
      <c r="G42" s="61"/>
      <c r="H42" s="183"/>
      <c r="I42" s="61"/>
      <c r="J42" s="275">
        <f>(L35+L36)</f>
        <v>361.56925713327325</v>
      </c>
      <c r="K42" s="235"/>
      <c r="L42" s="64"/>
      <c r="M42" s="65"/>
      <c r="N42" s="61"/>
      <c r="O42" s="61"/>
      <c r="P42" s="61"/>
      <c r="Q42" s="63" t="s">
        <v>51</v>
      </c>
      <c r="R42" s="184">
        <f>R41*(1-R40)</f>
        <v>0.62901700000000005</v>
      </c>
    </row>
    <row r="43" spans="2:38" ht="16.5" customHeight="1" x14ac:dyDescent="0.25">
      <c r="B43" s="262" t="s">
        <v>34</v>
      </c>
      <c r="C43" s="235"/>
      <c r="D43" s="248" t="s">
        <v>38</v>
      </c>
      <c r="E43" s="235"/>
      <c r="F43" s="235"/>
      <c r="G43" s="61"/>
      <c r="H43" s="110"/>
      <c r="I43" s="61"/>
      <c r="J43" s="275">
        <f>J27</f>
        <v>139.02000000000001</v>
      </c>
      <c r="K43" s="235"/>
      <c r="L43" s="64"/>
      <c r="M43" s="65"/>
      <c r="N43" s="61"/>
      <c r="O43" s="61"/>
      <c r="P43" s="61"/>
      <c r="Q43" s="61"/>
      <c r="R43" s="84"/>
    </row>
    <row r="44" spans="2:38" ht="16.5" customHeight="1" x14ac:dyDescent="0.25">
      <c r="B44" s="262" t="s">
        <v>34</v>
      </c>
      <c r="C44" s="235"/>
      <c r="D44" s="270" t="s">
        <v>52</v>
      </c>
      <c r="E44" s="235"/>
      <c r="F44" s="235"/>
      <c r="G44" s="61"/>
      <c r="H44" s="61"/>
      <c r="I44" s="61"/>
      <c r="J44" s="252">
        <f>(VLOOKUP(2,Tabela1[],2,FALSE)-VLOOKUP(5,Tabela1[],2,FALSE)-VLOOKUP(3,Tabela1[],2,FALSE)-VLOOKUP(115,Tabela1[],2,FALSE))*($I$35+$I$36)</f>
        <v>95.926000000000002</v>
      </c>
      <c r="K44" s="235"/>
      <c r="L44" s="64"/>
      <c r="M44" s="65"/>
      <c r="N44" s="61"/>
      <c r="O44" s="181"/>
      <c r="P44" s="60"/>
      <c r="Q44" s="181"/>
      <c r="R44" s="185"/>
    </row>
    <row r="45" spans="2:38" ht="16.5" customHeight="1" x14ac:dyDescent="0.25">
      <c r="B45" s="262" t="s">
        <v>34</v>
      </c>
      <c r="C45" s="235"/>
      <c r="D45" s="270" t="s">
        <v>39</v>
      </c>
      <c r="E45" s="235"/>
      <c r="F45" s="235"/>
      <c r="G45" s="112"/>
      <c r="H45" s="112"/>
      <c r="I45" s="112"/>
      <c r="J45" s="252">
        <f>dados!K18</f>
        <v>0</v>
      </c>
      <c r="K45" s="235"/>
      <c r="L45" s="112"/>
      <c r="M45" s="65"/>
      <c r="N45" s="61"/>
      <c r="O45" s="181"/>
      <c r="P45" s="60"/>
      <c r="Q45" s="181"/>
      <c r="R45" s="185"/>
    </row>
    <row r="46" spans="2:38" ht="16.5" customHeight="1" x14ac:dyDescent="0.25">
      <c r="B46" s="262"/>
      <c r="C46" s="235"/>
      <c r="D46" s="270"/>
      <c r="E46" s="235"/>
      <c r="F46" s="235"/>
      <c r="G46" s="112"/>
      <c r="H46" s="112"/>
      <c r="I46" s="112"/>
      <c r="J46" s="112"/>
      <c r="K46" s="112"/>
      <c r="L46" s="112"/>
      <c r="M46" s="186"/>
      <c r="N46" s="181"/>
      <c r="O46" s="181"/>
      <c r="P46" s="60"/>
      <c r="Q46" s="181"/>
      <c r="R46" s="185"/>
    </row>
    <row r="47" spans="2:38" ht="15.6" customHeight="1" x14ac:dyDescent="0.25">
      <c r="B47" s="83"/>
      <c r="C47" s="52"/>
      <c r="G47" s="112"/>
      <c r="H47" s="112"/>
      <c r="I47" s="112"/>
      <c r="J47" s="112"/>
      <c r="K47" s="112"/>
      <c r="L47" s="112"/>
      <c r="M47" s="186"/>
      <c r="N47" s="181"/>
      <c r="O47" s="181"/>
      <c r="P47" s="60"/>
      <c r="Q47" s="181"/>
      <c r="R47" s="185"/>
      <c r="AD47" s="176"/>
    </row>
    <row r="48" spans="2:38" ht="16.149999999999999" customHeight="1" thickBot="1" x14ac:dyDescent="0.3">
      <c r="B48" s="83"/>
      <c r="C48" s="52"/>
      <c r="G48" s="59"/>
      <c r="H48" s="62"/>
      <c r="I48" s="181"/>
      <c r="J48" s="172"/>
      <c r="K48" s="172"/>
      <c r="L48" s="186"/>
      <c r="M48" s="186"/>
      <c r="N48" s="181"/>
      <c r="O48" s="181"/>
      <c r="P48" s="60"/>
      <c r="Q48" s="181"/>
      <c r="R48" s="185"/>
      <c r="AD48" s="176"/>
    </row>
    <row r="49" spans="2:19" ht="24.75" customHeight="1" thickBot="1" x14ac:dyDescent="0.3">
      <c r="B49" s="83"/>
      <c r="C49" s="52"/>
      <c r="D49" s="42"/>
      <c r="I49" s="181"/>
      <c r="J49" s="273">
        <f>SUM(J40:K45)</f>
        <v>11430.344319133274</v>
      </c>
      <c r="K49" s="233"/>
      <c r="L49" s="186"/>
      <c r="M49" s="186"/>
      <c r="N49" s="181"/>
      <c r="O49" s="181"/>
      <c r="P49" s="60"/>
      <c r="Q49" s="181"/>
      <c r="R49" s="185"/>
    </row>
    <row r="50" spans="2:19" ht="12.75" customHeight="1" thickBot="1" x14ac:dyDescent="0.3">
      <c r="B50" s="87"/>
      <c r="C50" s="88"/>
      <c r="D50" s="89"/>
      <c r="E50" s="90"/>
      <c r="F50" s="91"/>
      <c r="G50" s="187"/>
      <c r="H50" s="187"/>
      <c r="I50" s="187"/>
      <c r="J50" s="187"/>
      <c r="K50" s="187"/>
      <c r="L50" s="187"/>
      <c r="M50" s="109"/>
      <c r="N50" s="187"/>
      <c r="O50" s="187"/>
      <c r="P50" s="92"/>
      <c r="Q50" s="187"/>
      <c r="R50" s="188"/>
    </row>
    <row r="51" spans="2:19" ht="9.75" customHeight="1" thickBot="1" x14ac:dyDescent="0.3">
      <c r="B51" s="45"/>
      <c r="C51" s="42"/>
      <c r="D51" s="18"/>
      <c r="E51" s="44"/>
      <c r="F51" s="189"/>
      <c r="G51" s="189"/>
      <c r="H51" s="189"/>
      <c r="I51" s="189"/>
      <c r="J51" s="189"/>
      <c r="K51" s="189"/>
      <c r="L51" s="43"/>
      <c r="M51" s="43"/>
      <c r="N51" s="43"/>
      <c r="O51" s="43"/>
      <c r="P51" s="189"/>
      <c r="Q51" s="189"/>
      <c r="S51" s="51"/>
    </row>
    <row r="52" spans="2:19" ht="25.5" customHeight="1" thickBot="1" x14ac:dyDescent="0.3">
      <c r="B52" s="241" t="s">
        <v>53</v>
      </c>
      <c r="C52" s="242"/>
      <c r="D52" s="242"/>
      <c r="E52" s="242"/>
      <c r="F52" s="242"/>
      <c r="G52" s="242"/>
      <c r="H52" s="242"/>
      <c r="I52" s="242"/>
      <c r="J52" s="242"/>
      <c r="K52" s="242"/>
      <c r="L52" s="242"/>
      <c r="M52" s="243"/>
      <c r="O52" s="241" t="s">
        <v>54</v>
      </c>
      <c r="P52" s="242"/>
      <c r="Q52" s="242"/>
      <c r="R52" s="243"/>
    </row>
    <row r="53" spans="2:19" ht="30" customHeight="1" thickBot="1" x14ac:dyDescent="0.3">
      <c r="B53" s="277" t="s">
        <v>42</v>
      </c>
      <c r="C53" s="250"/>
      <c r="D53" s="155" t="s">
        <v>55</v>
      </c>
      <c r="E53" s="249" t="s">
        <v>56</v>
      </c>
      <c r="F53" s="250"/>
      <c r="G53" s="155" t="s">
        <v>57</v>
      </c>
      <c r="H53" s="155" t="s">
        <v>58</v>
      </c>
      <c r="I53" s="155" t="s">
        <v>59</v>
      </c>
      <c r="J53" s="249" t="s">
        <v>60</v>
      </c>
      <c r="K53" s="250"/>
      <c r="L53" s="246" t="s">
        <v>61</v>
      </c>
      <c r="M53" s="247"/>
      <c r="O53" s="108"/>
      <c r="P53" s="152"/>
      <c r="Q53" s="152"/>
      <c r="R53" s="153"/>
    </row>
    <row r="54" spans="2:19" x14ac:dyDescent="0.25">
      <c r="B54" s="284" t="s">
        <v>62</v>
      </c>
      <c r="C54" s="235"/>
      <c r="D54" t="s">
        <v>63</v>
      </c>
      <c r="E54" s="293" t="s">
        <v>64</v>
      </c>
      <c r="F54" s="235"/>
      <c r="G54" s="66" t="s">
        <v>65</v>
      </c>
      <c r="H54" s="95" t="str">
        <f>VLOOKUP(1,Tabela2[],2,FALSE)</f>
        <v>12768.00</v>
      </c>
      <c r="I54" s="95" t="str">
        <f>VLOOKUP(4,Tabela2[],2,FALSE)</f>
        <v>26066.00</v>
      </c>
      <c r="J54" s="305" t="str">
        <f>VLOOKUP(7,Tabela2[],2,FALSE)</f>
        <v>1.00</v>
      </c>
      <c r="K54" s="242"/>
      <c r="L54" s="190" t="str">
        <f>VLOOKUP(10,Tabela2[],2,FALSE)</f>
        <v>13298.00</v>
      </c>
      <c r="M54" s="55"/>
      <c r="O54" s="251" t="s">
        <v>23</v>
      </c>
      <c r="P54" s="235"/>
      <c r="Q54" s="191">
        <f>dados!P23</f>
        <v>1759.93</v>
      </c>
      <c r="R54" s="156"/>
    </row>
    <row r="55" spans="2:19" ht="15.75" customHeight="1" x14ac:dyDescent="0.25">
      <c r="B55" s="151"/>
      <c r="M55" s="55"/>
      <c r="O55" s="264" t="s">
        <v>66</v>
      </c>
      <c r="P55" s="235"/>
      <c r="Q55" s="192">
        <f>dados!P24</f>
        <v>0</v>
      </c>
      <c r="R55" s="156"/>
    </row>
    <row r="56" spans="2:19" ht="18.75" customHeight="1" thickBot="1" x14ac:dyDescent="0.3">
      <c r="B56" s="151"/>
      <c r="M56" s="55"/>
      <c r="O56" s="264" t="s">
        <v>67</v>
      </c>
      <c r="P56" s="235"/>
      <c r="Q56" s="193">
        <f>dados!P25</f>
        <v>0</v>
      </c>
      <c r="R56" s="156"/>
    </row>
    <row r="57" spans="2:19" ht="24.6" customHeight="1" thickBot="1" x14ac:dyDescent="0.3">
      <c r="B57" s="41"/>
      <c r="C57" s="50"/>
      <c r="F57" s="50"/>
      <c r="G57" s="50"/>
      <c r="H57" s="50"/>
      <c r="I57" s="50"/>
      <c r="J57" s="50"/>
      <c r="K57" s="50"/>
      <c r="L57" s="50"/>
      <c r="M57" s="56"/>
      <c r="O57" s="151"/>
      <c r="Q57" s="194">
        <f>Q54+Q55+Q56</f>
        <v>1759.93</v>
      </c>
      <c r="R57" s="106" t="s">
        <v>68</v>
      </c>
    </row>
    <row r="58" spans="2:19" ht="15" customHeight="1" thickBot="1" x14ac:dyDescent="0.3">
      <c r="B58" s="151"/>
      <c r="K58" s="66" t="s">
        <v>40</v>
      </c>
      <c r="L58" s="76" t="str">
        <f>L54</f>
        <v>13298.00</v>
      </c>
      <c r="M58" s="67" t="s">
        <v>36</v>
      </c>
      <c r="O58" s="151"/>
      <c r="Q58" s="111"/>
      <c r="R58" s="54"/>
    </row>
    <row r="59" spans="2:19" ht="15.75" customHeight="1" thickBot="1" x14ac:dyDescent="0.3">
      <c r="B59" s="164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8"/>
      <c r="O59" s="151"/>
      <c r="R59" s="156"/>
    </row>
    <row r="60" spans="2:19" ht="33.75" customHeight="1" thickBot="1" x14ac:dyDescent="0.3">
      <c r="O60" s="151"/>
      <c r="Q60" s="195">
        <f>Q62-Q57</f>
        <v>9670.4143191332732</v>
      </c>
      <c r="R60" s="106" t="s">
        <v>69</v>
      </c>
    </row>
    <row r="61" spans="2:19" ht="24" customHeight="1" thickBot="1" x14ac:dyDescent="0.3">
      <c r="B61" s="298" t="s">
        <v>70</v>
      </c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O61" s="151"/>
      <c r="Q61" s="111"/>
      <c r="R61" s="54"/>
    </row>
    <row r="62" spans="2:19" ht="21" customHeight="1" thickBot="1" x14ac:dyDescent="0.3">
      <c r="B62" s="302" t="s">
        <v>71</v>
      </c>
      <c r="C62" s="242"/>
      <c r="D62" s="242"/>
      <c r="E62" s="242"/>
      <c r="F62" s="242"/>
      <c r="G62" s="242"/>
      <c r="H62" s="242"/>
      <c r="I62" s="242"/>
      <c r="J62" s="242"/>
      <c r="K62" s="242"/>
      <c r="L62" s="242"/>
      <c r="M62" s="243"/>
      <c r="O62" s="151"/>
      <c r="Q62" s="195">
        <f>J49</f>
        <v>11430.344319133274</v>
      </c>
      <c r="R62" s="67" t="s">
        <v>72</v>
      </c>
    </row>
    <row r="63" spans="2:19" ht="10.5" customHeight="1" thickBot="1" x14ac:dyDescent="0.3">
      <c r="B63" s="289"/>
      <c r="C63" s="257"/>
      <c r="D63" s="257"/>
      <c r="E63" s="257"/>
      <c r="F63" s="257"/>
      <c r="G63" s="257"/>
      <c r="H63" s="257"/>
      <c r="I63" s="257"/>
      <c r="J63" s="257"/>
      <c r="K63" s="257"/>
      <c r="L63" s="257"/>
      <c r="M63" s="258"/>
      <c r="O63" s="164"/>
      <c r="P63" s="157"/>
      <c r="Q63" s="157"/>
      <c r="R63" s="158"/>
    </row>
    <row r="64" spans="2:19" ht="15" customHeight="1" thickBot="1" x14ac:dyDescent="0.3"/>
    <row r="65" spans="2:18" ht="18.600000000000001" customHeight="1" thickBot="1" x14ac:dyDescent="0.3">
      <c r="B65" s="282" t="s">
        <v>73</v>
      </c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3"/>
    </row>
    <row r="66" spans="2:18" ht="15" customHeight="1" x14ac:dyDescent="0.25">
      <c r="B66" s="309" t="s">
        <v>74</v>
      </c>
      <c r="C66" s="242"/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R66" s="243"/>
    </row>
    <row r="67" spans="2:18" ht="15" customHeight="1" x14ac:dyDescent="0.25">
      <c r="B67" s="237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56"/>
    </row>
    <row r="68" spans="2:18" ht="15" customHeight="1" x14ac:dyDescent="0.25">
      <c r="B68" s="237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56"/>
    </row>
    <row r="69" spans="2:18" ht="90.75" customHeight="1" thickBot="1" x14ac:dyDescent="0.3">
      <c r="B69" s="289"/>
      <c r="C69" s="257"/>
      <c r="D69" s="257"/>
      <c r="E69" s="257"/>
      <c r="F69" s="257"/>
      <c r="G69" s="257"/>
      <c r="H69" s="257"/>
      <c r="I69" s="257"/>
      <c r="J69" s="257"/>
      <c r="K69" s="257"/>
      <c r="L69" s="257"/>
      <c r="M69" s="257"/>
      <c r="N69" s="257"/>
      <c r="O69" s="257"/>
      <c r="P69" s="257"/>
      <c r="Q69" s="257"/>
      <c r="R69" s="258"/>
    </row>
    <row r="70" spans="2:18" ht="15" customHeight="1" thickBot="1" x14ac:dyDescent="0.3"/>
    <row r="71" spans="2:18" ht="92.25" customHeight="1" x14ac:dyDescent="0.25">
      <c r="B71" s="288" t="s">
        <v>75</v>
      </c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3"/>
    </row>
    <row r="72" spans="2:18" ht="15" customHeight="1" x14ac:dyDescent="0.25">
      <c r="B72" s="237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56"/>
    </row>
    <row r="73" spans="2:18" ht="15" customHeight="1" x14ac:dyDescent="0.25">
      <c r="B73" s="237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56"/>
    </row>
    <row r="74" spans="2:18" ht="15" customHeight="1" x14ac:dyDescent="0.25">
      <c r="B74" s="237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56"/>
    </row>
    <row r="75" spans="2:18" ht="15" customHeight="1" x14ac:dyDescent="0.25">
      <c r="B75" s="237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56"/>
    </row>
    <row r="76" spans="2:18" ht="15" customHeight="1" x14ac:dyDescent="0.25">
      <c r="B76" s="237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56"/>
    </row>
    <row r="77" spans="2:18" ht="21.75" customHeight="1" x14ac:dyDescent="0.25">
      <c r="B77" s="237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56"/>
    </row>
    <row r="78" spans="2:18" ht="25.5" customHeight="1" x14ac:dyDescent="0.25">
      <c r="B78" s="237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56"/>
    </row>
    <row r="79" spans="2:18" ht="30" customHeight="1" x14ac:dyDescent="0.25">
      <c r="B79" s="237"/>
      <c r="C79" s="235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56"/>
    </row>
    <row r="80" spans="2:18" ht="15" customHeight="1" x14ac:dyDescent="0.25">
      <c r="B80" s="237"/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56"/>
    </row>
    <row r="81" spans="2:29" ht="15" customHeight="1" x14ac:dyDescent="0.25">
      <c r="B81" s="237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56"/>
    </row>
    <row r="82" spans="2:29" ht="15" customHeight="1" x14ac:dyDescent="0.25">
      <c r="B82" s="237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56"/>
    </row>
    <row r="83" spans="2:29" ht="15" customHeight="1" x14ac:dyDescent="0.25">
      <c r="B83" s="237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56"/>
    </row>
    <row r="84" spans="2:29" ht="15" customHeight="1" x14ac:dyDescent="0.25">
      <c r="B84" s="237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56"/>
    </row>
    <row r="85" spans="2:29" ht="15" customHeight="1" x14ac:dyDescent="0.25">
      <c r="B85" s="237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56"/>
    </row>
    <row r="86" spans="2:29" ht="15" customHeight="1" x14ac:dyDescent="0.25">
      <c r="B86" s="237"/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56"/>
    </row>
    <row r="87" spans="2:29" ht="15" customHeight="1" x14ac:dyDescent="0.25">
      <c r="B87" s="237"/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56"/>
    </row>
    <row r="88" spans="2:29" ht="23.25" customHeight="1" x14ac:dyDescent="0.25">
      <c r="B88" s="237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56"/>
    </row>
    <row r="89" spans="2:29" ht="15" customHeight="1" x14ac:dyDescent="0.25">
      <c r="B89" s="237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56"/>
    </row>
    <row r="90" spans="2:29" ht="15" customHeight="1" x14ac:dyDescent="0.25">
      <c r="B90" s="237"/>
      <c r="C90" s="235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56"/>
    </row>
    <row r="91" spans="2:29" ht="15" customHeight="1" x14ac:dyDescent="0.25">
      <c r="B91" s="237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56"/>
      <c r="T91" s="48"/>
      <c r="U91" s="48"/>
      <c r="V91" s="48"/>
      <c r="W91" s="48"/>
      <c r="X91" s="48"/>
      <c r="Y91" s="48"/>
      <c r="Z91" s="48"/>
      <c r="AA91" s="48"/>
      <c r="AB91" s="48"/>
      <c r="AC91" s="48"/>
    </row>
    <row r="92" spans="2:29" ht="15" customHeight="1" x14ac:dyDescent="0.25">
      <c r="B92" s="237"/>
      <c r="C92" s="235"/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56"/>
    </row>
    <row r="93" spans="2:29" ht="15" customHeight="1" x14ac:dyDescent="0.25">
      <c r="B93" s="237"/>
      <c r="C93" s="235"/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56"/>
    </row>
    <row r="94" spans="2:29" ht="15" customHeight="1" x14ac:dyDescent="0.25">
      <c r="B94" s="237"/>
      <c r="C94" s="235"/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  <c r="R94" s="256"/>
    </row>
    <row r="95" spans="2:29" ht="15" customHeight="1" x14ac:dyDescent="0.25">
      <c r="B95" s="237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56"/>
    </row>
    <row r="96" spans="2:29" ht="15" customHeight="1" x14ac:dyDescent="0.25">
      <c r="B96" s="237"/>
      <c r="C96" s="235"/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56"/>
    </row>
    <row r="97" spans="1:18" ht="15" customHeight="1" x14ac:dyDescent="0.25">
      <c r="B97" s="237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56"/>
    </row>
    <row r="98" spans="1:18" ht="15" customHeight="1" x14ac:dyDescent="0.25">
      <c r="B98" s="237"/>
      <c r="C98" s="235"/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  <c r="R98" s="256"/>
    </row>
    <row r="99" spans="1:18" ht="15" customHeight="1" x14ac:dyDescent="0.25">
      <c r="B99" s="237"/>
      <c r="C99" s="235"/>
      <c r="D99" s="235"/>
      <c r="E99" s="235"/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  <c r="R99" s="256"/>
    </row>
    <row r="100" spans="1:18" ht="15" customHeight="1" x14ac:dyDescent="0.25">
      <c r="B100" s="237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56"/>
    </row>
    <row r="101" spans="1:18" ht="15" customHeight="1" x14ac:dyDescent="0.25">
      <c r="B101" s="237"/>
      <c r="C101" s="235"/>
      <c r="D101" s="23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56"/>
    </row>
    <row r="102" spans="1:18" ht="15" customHeight="1" x14ac:dyDescent="0.25">
      <c r="B102" s="237"/>
      <c r="C102" s="235"/>
      <c r="D102" s="235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56"/>
    </row>
    <row r="103" spans="1:18" ht="15" customHeight="1" x14ac:dyDescent="0.25">
      <c r="B103" s="237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56"/>
    </row>
    <row r="104" spans="1:18" ht="15" customHeight="1" x14ac:dyDescent="0.25">
      <c r="B104" s="237"/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56"/>
    </row>
    <row r="105" spans="1:18" ht="15.75" customHeight="1" x14ac:dyDescent="0.25">
      <c r="B105" s="237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56"/>
    </row>
    <row r="106" spans="1:18" ht="15" customHeight="1" thickBot="1" x14ac:dyDescent="0.3">
      <c r="B106" s="289"/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8"/>
    </row>
    <row r="109" spans="1:18" x14ac:dyDescent="0.2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</row>
  </sheetData>
  <mergeCells count="106">
    <mergeCell ref="J54:K54"/>
    <mergeCell ref="Q12:R13"/>
    <mergeCell ref="J41:K41"/>
    <mergeCell ref="D26:F26"/>
    <mergeCell ref="F3:L5"/>
    <mergeCell ref="I18:M20"/>
    <mergeCell ref="I14:J14"/>
    <mergeCell ref="M34:O34"/>
    <mergeCell ref="B66:R69"/>
    <mergeCell ref="J43:K43"/>
    <mergeCell ref="B36:C36"/>
    <mergeCell ref="B52:M52"/>
    <mergeCell ref="K13:M14"/>
    <mergeCell ref="B71:R106"/>
    <mergeCell ref="J24:K24"/>
    <mergeCell ref="B42:C42"/>
    <mergeCell ref="Q14:R14"/>
    <mergeCell ref="E18:H20"/>
    <mergeCell ref="J26:K26"/>
    <mergeCell ref="D42:F42"/>
    <mergeCell ref="J35:K35"/>
    <mergeCell ref="B44:C44"/>
    <mergeCell ref="B34:C34"/>
    <mergeCell ref="J25:K25"/>
    <mergeCell ref="D35:F35"/>
    <mergeCell ref="D44:F44"/>
    <mergeCell ref="D34:F34"/>
    <mergeCell ref="K15:M15"/>
    <mergeCell ref="E54:F54"/>
    <mergeCell ref="O7:P20"/>
    <mergeCell ref="J42:K42"/>
    <mergeCell ref="B45:C45"/>
    <mergeCell ref="D36:F36"/>
    <mergeCell ref="B33:R33"/>
    <mergeCell ref="D45:F45"/>
    <mergeCell ref="K8:M9"/>
    <mergeCell ref="J44:K44"/>
    <mergeCell ref="O56:P56"/>
    <mergeCell ref="I8:J8"/>
    <mergeCell ref="B65:R65"/>
    <mergeCell ref="D46:F46"/>
    <mergeCell ref="D40:F40"/>
    <mergeCell ref="F2:L2"/>
    <mergeCell ref="M35:O35"/>
    <mergeCell ref="I9:J9"/>
    <mergeCell ref="B54:C54"/>
    <mergeCell ref="J38:K38"/>
    <mergeCell ref="M25:O25"/>
    <mergeCell ref="Q18:R20"/>
    <mergeCell ref="J40:K40"/>
    <mergeCell ref="B43:C43"/>
    <mergeCell ref="B61:M61"/>
    <mergeCell ref="B46:C46"/>
    <mergeCell ref="J37:K37"/>
    <mergeCell ref="J30:K30"/>
    <mergeCell ref="M27:O27"/>
    <mergeCell ref="M36:O36"/>
    <mergeCell ref="Q8:R10"/>
    <mergeCell ref="B62:M63"/>
    <mergeCell ref="D24:F24"/>
    <mergeCell ref="D38:F38"/>
    <mergeCell ref="O54:P54"/>
    <mergeCell ref="J45:K45"/>
    <mergeCell ref="M3:R5"/>
    <mergeCell ref="M24:O24"/>
    <mergeCell ref="B38:C38"/>
    <mergeCell ref="K10:M10"/>
    <mergeCell ref="O55:P55"/>
    <mergeCell ref="B40:C40"/>
    <mergeCell ref="I17:M17"/>
    <mergeCell ref="Q17:R17"/>
    <mergeCell ref="Q11:R11"/>
    <mergeCell ref="E53:F53"/>
    <mergeCell ref="I13:J13"/>
    <mergeCell ref="B41:C41"/>
    <mergeCell ref="B35:C35"/>
    <mergeCell ref="D27:F27"/>
    <mergeCell ref="D41:F41"/>
    <mergeCell ref="B17:D17"/>
    <mergeCell ref="K12:M12"/>
    <mergeCell ref="D43:F43"/>
    <mergeCell ref="M37:O37"/>
    <mergeCell ref="J34:K34"/>
    <mergeCell ref="I7:J7"/>
    <mergeCell ref="J49:K49"/>
    <mergeCell ref="M2:R2"/>
    <mergeCell ref="Q7:R7"/>
    <mergeCell ref="B18:D20"/>
    <mergeCell ref="O52:R52"/>
    <mergeCell ref="Q15:R16"/>
    <mergeCell ref="J28:K28"/>
    <mergeCell ref="L53:M53"/>
    <mergeCell ref="D37:F37"/>
    <mergeCell ref="J53:K53"/>
    <mergeCell ref="J27:K27"/>
    <mergeCell ref="M26:O26"/>
    <mergeCell ref="D25:F25"/>
    <mergeCell ref="J36:K36"/>
    <mergeCell ref="C13:G14"/>
    <mergeCell ref="B53:C53"/>
    <mergeCell ref="K7:M7"/>
    <mergeCell ref="B23:R23"/>
    <mergeCell ref="M38:O38"/>
    <mergeCell ref="B37:C37"/>
    <mergeCell ref="I12:J12"/>
    <mergeCell ref="E17:H17"/>
  </mergeCells>
  <pageMargins left="0.7" right="0.7" top="0.75" bottom="0.75" header="0.3" footer="0.3"/>
  <pageSetup paperSize="9" scale="35" orientation="portrait" horizontalDpi="1200" verticalDpi="1200"/>
  <headerFooter>
    <oddHeader>&amp;C
&amp;G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Q61"/>
  <sheetViews>
    <sheetView tabSelected="1" topLeftCell="K4" zoomScale="85" zoomScaleNormal="85" workbookViewId="0">
      <selection activeCell="G16" sqref="G16"/>
    </sheetView>
  </sheetViews>
  <sheetFormatPr defaultRowHeight="15" x14ac:dyDescent="0.25"/>
  <cols>
    <col min="1" max="1" width="3.5703125" style="150" customWidth="1"/>
    <col min="3" max="3" width="15" style="150" bestFit="1" customWidth="1"/>
    <col min="6" max="6" width="12.140625" style="150" customWidth="1"/>
    <col min="7" max="7" width="17.28515625" style="150" customWidth="1"/>
    <col min="8" max="8" width="9.85546875" style="150" bestFit="1" customWidth="1"/>
    <col min="9" max="9" width="34.7109375" style="150" customWidth="1"/>
    <col min="10" max="10" width="20.7109375" style="150" bestFit="1" customWidth="1"/>
    <col min="11" max="11" width="21.5703125" style="150" customWidth="1"/>
    <col min="12" max="12" width="17" style="150" customWidth="1"/>
    <col min="13" max="13" width="18.5703125" style="150" bestFit="1" customWidth="1"/>
    <col min="14" max="14" width="19" style="150" customWidth="1"/>
    <col min="15" max="15" width="38.140625" style="150" customWidth="1"/>
    <col min="16" max="16" width="15.42578125" style="150" bestFit="1" customWidth="1"/>
    <col min="17" max="17" width="14.5703125" style="150" customWidth="1"/>
    <col min="18" max="18" width="17.140625" style="150" customWidth="1"/>
    <col min="19" max="19" width="11.5703125" style="150" bestFit="1" customWidth="1"/>
    <col min="20" max="31" width="11.5703125" style="150" customWidth="1"/>
    <col min="32" max="32" width="34.42578125" style="150" customWidth="1"/>
    <col min="33" max="44" width="11.5703125" style="150" customWidth="1"/>
    <col min="45" max="45" width="30.7109375" style="150" bestFit="1" customWidth="1"/>
    <col min="46" max="47" width="11.5703125" style="150" customWidth="1"/>
    <col min="48" max="48" width="34.140625" style="150" customWidth="1"/>
    <col min="49" max="54" width="11.5703125" style="150" customWidth="1"/>
    <col min="55" max="55" width="15.28515625" style="150" customWidth="1"/>
    <col min="56" max="56" width="15.85546875" style="150" customWidth="1"/>
    <col min="57" max="63" width="11.5703125" style="150" customWidth="1"/>
    <col min="64" max="64" width="33.7109375" style="150" bestFit="1" customWidth="1"/>
    <col min="65" max="65" width="24.42578125" style="150" bestFit="1" customWidth="1"/>
    <col min="66" max="66" width="24.85546875" style="150" bestFit="1" customWidth="1"/>
    <col min="67" max="68" width="10.85546875" style="150" customWidth="1"/>
    <col min="69" max="69" width="17.7109375" style="150" bestFit="1" customWidth="1"/>
    <col min="70" max="70" width="10.85546875" style="150" customWidth="1"/>
    <col min="71" max="72" width="15.28515625" style="150" customWidth="1"/>
    <col min="73" max="73" width="10.85546875" style="150" customWidth="1"/>
    <col min="74" max="78" width="11.5703125" style="150" customWidth="1"/>
    <col min="79" max="79" width="33.85546875" style="150" bestFit="1" customWidth="1"/>
    <col min="80" max="85" width="11.5703125" style="150" customWidth="1"/>
    <col min="86" max="86" width="18.28515625" style="150" bestFit="1" customWidth="1"/>
    <col min="87" max="91" width="11.5703125" style="150" customWidth="1"/>
    <col min="92" max="92" width="7.42578125" style="150" customWidth="1"/>
    <col min="93" max="93" width="11.5703125" style="150" customWidth="1"/>
    <col min="94" max="94" width="21.7109375" style="150" customWidth="1"/>
    <col min="95" max="96" width="11.5703125" style="150" customWidth="1"/>
    <col min="97" max="103" width="16.85546875" style="150" customWidth="1"/>
    <col min="104" max="104" width="10.5703125" style="150" customWidth="1"/>
    <col min="105" max="106" width="4" style="150" customWidth="1"/>
    <col min="107" max="119" width="20.42578125" style="150" customWidth="1"/>
    <col min="120" max="121" width="7.140625" style="150" customWidth="1"/>
    <col min="122" max="123" width="20.42578125" style="150" customWidth="1"/>
    <col min="124" max="124" width="33.42578125" style="150" customWidth="1"/>
    <col min="125" max="134" width="20.42578125" style="150" customWidth="1"/>
    <col min="135" max="136" width="4.28515625" style="150" customWidth="1"/>
    <col min="138" max="138" width="31.85546875" style="150" bestFit="1" customWidth="1"/>
    <col min="139" max="141" width="12.140625" style="150" customWidth="1"/>
    <col min="142" max="142" width="17.42578125" style="150" bestFit="1" customWidth="1"/>
    <col min="143" max="143" width="12.140625" style="150" customWidth="1"/>
    <col min="144" max="144" width="15" style="150" bestFit="1" customWidth="1"/>
    <col min="145" max="145" width="12.140625" style="150" customWidth="1"/>
    <col min="146" max="146" width="13.140625" style="150" bestFit="1" customWidth="1"/>
    <col min="147" max="147" width="12.140625" style="150" customWidth="1"/>
  </cols>
  <sheetData>
    <row r="1" spans="1:18" x14ac:dyDescent="0.25">
      <c r="J1" s="17"/>
    </row>
    <row r="2" spans="1:18" x14ac:dyDescent="0.25">
      <c r="K2" s="5"/>
    </row>
    <row r="4" spans="1:18" ht="25.9" customHeight="1" x14ac:dyDescent="0.25">
      <c r="G4" s="118"/>
      <c r="H4" s="116"/>
      <c r="I4" s="117" t="str">
        <f>J27</f>
        <v>04/2024</v>
      </c>
      <c r="J4" s="116"/>
      <c r="K4" s="116"/>
      <c r="L4" s="116"/>
      <c r="M4" s="116"/>
      <c r="N4" s="116">
        <f>N12/M12</f>
        <v>3.5676929087220074E-2</v>
      </c>
      <c r="O4" s="116"/>
      <c r="P4" s="116"/>
      <c r="Q4" s="116"/>
      <c r="R4" s="116"/>
    </row>
    <row r="5" spans="1:18" x14ac:dyDescent="0.25">
      <c r="G5" s="118"/>
      <c r="H5" s="116"/>
      <c r="I5" s="116" t="s">
        <v>23</v>
      </c>
      <c r="J5" s="116"/>
      <c r="K5" s="116"/>
      <c r="L5" s="116"/>
      <c r="M5" s="116"/>
      <c r="N5" s="119">
        <f>N7/M7</f>
        <v>2.8559265748392296E-2</v>
      </c>
      <c r="O5" s="116"/>
      <c r="P5" s="116"/>
      <c r="Q5" s="116"/>
      <c r="R5" s="116"/>
    </row>
    <row r="6" spans="1:18" ht="28.9" customHeight="1" x14ac:dyDescent="0.25">
      <c r="B6" t="s">
        <v>34</v>
      </c>
      <c r="C6" t="s">
        <v>76</v>
      </c>
      <c r="E6" t="s">
        <v>77</v>
      </c>
      <c r="F6" t="s">
        <v>76</v>
      </c>
      <c r="G6" s="118"/>
      <c r="H6" s="116"/>
      <c r="I6" s="120" t="s">
        <v>24</v>
      </c>
      <c r="J6" s="120" t="s">
        <v>25</v>
      </c>
      <c r="K6" s="120" t="s">
        <v>26</v>
      </c>
      <c r="L6" s="120" t="s">
        <v>27</v>
      </c>
      <c r="M6" s="120" t="s">
        <v>28</v>
      </c>
      <c r="N6" s="120" t="s">
        <v>29</v>
      </c>
      <c r="O6" s="120" t="s">
        <v>30</v>
      </c>
      <c r="P6" s="120" t="s">
        <v>31</v>
      </c>
      <c r="Q6" s="120" t="s">
        <v>32</v>
      </c>
      <c r="R6" s="120" t="s">
        <v>33</v>
      </c>
    </row>
    <row r="7" spans="1:18" x14ac:dyDescent="0.25">
      <c r="A7" s="113"/>
      <c r="B7" s="97">
        <v>1</v>
      </c>
      <c r="C7" s="105">
        <f>K7</f>
        <v>13298</v>
      </c>
      <c r="E7" s="99">
        <v>1</v>
      </c>
      <c r="F7" s="100" t="str">
        <f>$M$21</f>
        <v>12768.00</v>
      </c>
      <c r="G7" s="118"/>
      <c r="H7" s="116"/>
      <c r="I7" s="121" t="s">
        <v>78</v>
      </c>
      <c r="J7" s="122" t="s">
        <v>36</v>
      </c>
      <c r="K7" s="123">
        <v>13298</v>
      </c>
      <c r="L7" s="124">
        <v>0.38156000000000001</v>
      </c>
      <c r="M7" s="125">
        <v>5074.01</v>
      </c>
      <c r="N7" s="124">
        <v>144.91</v>
      </c>
      <c r="O7" s="125">
        <v>5074.01</v>
      </c>
      <c r="P7" s="126">
        <v>0.2</v>
      </c>
      <c r="Q7" s="125">
        <v>1014.8</v>
      </c>
      <c r="R7" s="124">
        <v>0.29435</v>
      </c>
    </row>
    <row r="8" spans="1:18" x14ac:dyDescent="0.25">
      <c r="A8" s="113"/>
      <c r="B8" s="97">
        <v>2</v>
      </c>
      <c r="C8" s="105">
        <f>K8</f>
        <v>13298</v>
      </c>
      <c r="E8" s="99">
        <v>4</v>
      </c>
      <c r="F8" s="100" t="str">
        <f>$N$21</f>
        <v>26066.00</v>
      </c>
      <c r="G8" s="118"/>
      <c r="H8" s="116"/>
      <c r="I8" s="121" t="s">
        <v>79</v>
      </c>
      <c r="J8" s="122" t="s">
        <v>36</v>
      </c>
      <c r="K8" s="123">
        <v>13298</v>
      </c>
      <c r="L8" s="124">
        <v>0.57769999999999999</v>
      </c>
      <c r="M8" s="125">
        <v>7682.28</v>
      </c>
      <c r="N8" s="124">
        <v>219.39</v>
      </c>
      <c r="O8" s="125">
        <v>7682.28</v>
      </c>
      <c r="P8" s="126">
        <v>0.2</v>
      </c>
      <c r="Q8" s="125">
        <v>1536.45</v>
      </c>
      <c r="R8" s="124">
        <v>0.44567000000000001</v>
      </c>
    </row>
    <row r="9" spans="1:18" ht="19.5" customHeight="1" x14ac:dyDescent="0.25">
      <c r="A9" s="113"/>
      <c r="B9" s="97">
        <v>3</v>
      </c>
      <c r="C9" s="105">
        <f>K11</f>
        <v>1717</v>
      </c>
      <c r="E9" s="99">
        <v>7</v>
      </c>
      <c r="F9" s="100" t="str">
        <f>$O$21</f>
        <v>1.00</v>
      </c>
      <c r="G9" s="118"/>
      <c r="H9" s="116"/>
      <c r="I9" s="121" t="s">
        <v>80</v>
      </c>
      <c r="J9" s="122" t="s">
        <v>36</v>
      </c>
      <c r="K9" s="123">
        <v>9226</v>
      </c>
      <c r="L9" s="124">
        <v>-0.38156000000000001</v>
      </c>
      <c r="M9" s="124">
        <v>-3520.28</v>
      </c>
      <c r="N9" s="124">
        <v>-100.53</v>
      </c>
      <c r="O9" s="124">
        <v>-3520.28</v>
      </c>
      <c r="P9" s="126">
        <v>0.2</v>
      </c>
      <c r="Q9" s="124">
        <v>-704.05</v>
      </c>
      <c r="R9" s="124">
        <v>0.29435</v>
      </c>
    </row>
    <row r="10" spans="1:18" x14ac:dyDescent="0.25">
      <c r="A10" s="113"/>
      <c r="B10" s="97">
        <v>4</v>
      </c>
      <c r="C10" s="105">
        <f>K12</f>
        <v>1717</v>
      </c>
      <c r="E10" s="99">
        <v>10</v>
      </c>
      <c r="F10" s="101" t="str">
        <f>$P$21</f>
        <v>13298.00</v>
      </c>
      <c r="G10" s="118"/>
      <c r="H10" s="116"/>
      <c r="I10" s="121" t="s">
        <v>81</v>
      </c>
      <c r="J10" s="122" t="s">
        <v>36</v>
      </c>
      <c r="K10" s="123">
        <v>9226</v>
      </c>
      <c r="L10" s="124">
        <v>-0.46216000000000002</v>
      </c>
      <c r="M10" s="125">
        <v>-4263.91</v>
      </c>
      <c r="N10" s="124">
        <v>-152.21</v>
      </c>
      <c r="O10" s="125">
        <v>0</v>
      </c>
      <c r="P10" s="126">
        <v>0</v>
      </c>
      <c r="Q10" s="124">
        <v>0</v>
      </c>
      <c r="R10" s="124">
        <v>0.44567000000000001</v>
      </c>
    </row>
    <row r="11" spans="1:18" x14ac:dyDescent="0.25">
      <c r="A11" s="113"/>
      <c r="B11" s="97">
        <v>5</v>
      </c>
      <c r="C11" s="105">
        <f>K9</f>
        <v>9226</v>
      </c>
      <c r="G11" s="118"/>
      <c r="H11" s="116"/>
      <c r="I11" s="121" t="s">
        <v>80</v>
      </c>
      <c r="J11" s="122" t="s">
        <v>36</v>
      </c>
      <c r="K11" s="123">
        <v>1717</v>
      </c>
      <c r="L11" s="124">
        <v>-0.38155</v>
      </c>
      <c r="M11" s="124">
        <v>-655.12</v>
      </c>
      <c r="N11" s="124">
        <v>-18.7</v>
      </c>
      <c r="O11" s="124">
        <v>-655.12</v>
      </c>
      <c r="P11" s="126">
        <v>0.2</v>
      </c>
      <c r="Q11" s="124">
        <v>-131.02000000000001</v>
      </c>
      <c r="R11" s="124">
        <v>0.29435</v>
      </c>
    </row>
    <row r="12" spans="1:18" x14ac:dyDescent="0.25">
      <c r="A12" s="113"/>
      <c r="B12" s="97">
        <v>6</v>
      </c>
      <c r="C12" s="105">
        <f>K10</f>
        <v>9226</v>
      </c>
      <c r="G12" s="118"/>
      <c r="H12" s="116"/>
      <c r="I12" s="121" t="s">
        <v>81</v>
      </c>
      <c r="J12" s="122" t="s">
        <v>36</v>
      </c>
      <c r="K12" s="123">
        <v>1717</v>
      </c>
      <c r="L12" s="124">
        <v>-0.46215000000000001</v>
      </c>
      <c r="M12" s="125">
        <v>-793.51</v>
      </c>
      <c r="N12" s="124">
        <v>-28.31</v>
      </c>
      <c r="O12" s="124">
        <v>0</v>
      </c>
      <c r="P12" s="126">
        <v>0</v>
      </c>
      <c r="Q12" s="124">
        <v>0</v>
      </c>
      <c r="R12" s="124">
        <v>0.44567000000000001</v>
      </c>
    </row>
    <row r="13" spans="1:18" x14ac:dyDescent="0.25">
      <c r="A13" s="113"/>
      <c r="B13" s="97">
        <v>7</v>
      </c>
      <c r="C13" s="196">
        <f>L7</f>
        <v>0.38156000000000001</v>
      </c>
      <c r="G13" s="118"/>
      <c r="H13" s="127"/>
      <c r="I13" s="121" t="s">
        <v>82</v>
      </c>
      <c r="J13" s="122"/>
      <c r="K13" s="123"/>
      <c r="L13" s="124"/>
      <c r="M13" s="125">
        <v>139.02000000000001</v>
      </c>
      <c r="N13" s="124">
        <v>0</v>
      </c>
      <c r="O13" s="124">
        <v>0</v>
      </c>
      <c r="P13" s="126">
        <v>0</v>
      </c>
      <c r="Q13" s="124">
        <v>0</v>
      </c>
      <c r="R13" s="124"/>
    </row>
    <row r="14" spans="1:18" x14ac:dyDescent="0.25">
      <c r="A14" s="113"/>
      <c r="B14" s="97">
        <v>8</v>
      </c>
      <c r="C14" s="196">
        <f>L8</f>
        <v>0.57769999999999999</v>
      </c>
      <c r="G14" s="118"/>
      <c r="H14" s="116"/>
    </row>
    <row r="15" spans="1:18" x14ac:dyDescent="0.25">
      <c r="A15" s="113"/>
      <c r="B15" s="97">
        <v>9</v>
      </c>
      <c r="C15" s="196">
        <f>L11</f>
        <v>-0.38155</v>
      </c>
      <c r="G15" s="118"/>
      <c r="H15" s="116"/>
    </row>
    <row r="16" spans="1:18" x14ac:dyDescent="0.25">
      <c r="A16" s="113"/>
      <c r="B16" s="97">
        <v>10</v>
      </c>
      <c r="C16" s="196">
        <f>L12</f>
        <v>-0.46215000000000001</v>
      </c>
      <c r="G16" s="118"/>
      <c r="H16" s="116"/>
      <c r="I16" s="116"/>
      <c r="J16" s="116" t="s">
        <v>83</v>
      </c>
      <c r="K16" s="128">
        <v>0</v>
      </c>
      <c r="L16" s="116"/>
      <c r="M16" s="116"/>
      <c r="N16" s="116"/>
      <c r="O16" s="116"/>
      <c r="P16" s="116"/>
      <c r="Q16" s="116"/>
      <c r="R16" s="116"/>
    </row>
    <row r="17" spans="1:18" x14ac:dyDescent="0.25">
      <c r="A17" s="113"/>
      <c r="B17" s="97">
        <v>11</v>
      </c>
      <c r="C17" s="196">
        <f>L9</f>
        <v>-0.38156000000000001</v>
      </c>
      <c r="G17" s="118"/>
      <c r="H17" s="116"/>
      <c r="I17" s="116"/>
      <c r="J17" s="116"/>
      <c r="K17" s="129">
        <v>0</v>
      </c>
      <c r="L17" s="116"/>
      <c r="M17" s="116"/>
      <c r="N17" s="116"/>
      <c r="O17" s="116"/>
      <c r="P17" s="116"/>
      <c r="Q17" s="116"/>
      <c r="R17" s="116"/>
    </row>
    <row r="18" spans="1:18" x14ac:dyDescent="0.25">
      <c r="A18" s="113"/>
      <c r="B18" s="97">
        <v>12</v>
      </c>
      <c r="C18" s="196">
        <f>L10</f>
        <v>-0.46216000000000002</v>
      </c>
      <c r="G18" s="118"/>
      <c r="H18" s="116"/>
      <c r="I18" s="116"/>
      <c r="J18" s="116"/>
      <c r="K18" s="116">
        <f>K16+K17</f>
        <v>0</v>
      </c>
      <c r="L18" s="116"/>
      <c r="M18" s="116"/>
      <c r="N18" s="116"/>
      <c r="O18" s="116"/>
      <c r="P18" s="116"/>
      <c r="Q18" s="116"/>
      <c r="R18" s="116"/>
    </row>
    <row r="19" spans="1:18" x14ac:dyDescent="0.25">
      <c r="B19" s="97">
        <v>13</v>
      </c>
      <c r="C19" s="197">
        <f>M7</f>
        <v>5074.01</v>
      </c>
      <c r="G19" s="118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</row>
    <row r="20" spans="1:18" ht="27.6" customHeight="1" x14ac:dyDescent="0.25">
      <c r="B20" s="97">
        <v>14</v>
      </c>
      <c r="C20" s="197">
        <f>M8</f>
        <v>7682.28</v>
      </c>
      <c r="G20" s="118"/>
      <c r="H20" s="116"/>
      <c r="I20" s="130" t="s">
        <v>84</v>
      </c>
      <c r="J20" s="131" t="s">
        <v>55</v>
      </c>
      <c r="K20" s="131" t="s">
        <v>56</v>
      </c>
      <c r="L20" s="131" t="s">
        <v>57</v>
      </c>
      <c r="M20" s="131" t="s">
        <v>58</v>
      </c>
      <c r="N20" s="131" t="s">
        <v>59</v>
      </c>
      <c r="O20" s="131" t="s">
        <v>60</v>
      </c>
      <c r="P20" s="131" t="s">
        <v>61</v>
      </c>
      <c r="Q20" s="132"/>
      <c r="R20" s="132"/>
    </row>
    <row r="21" spans="1:18" x14ac:dyDescent="0.25">
      <c r="B21" s="97">
        <v>15</v>
      </c>
      <c r="C21" s="197">
        <f>M11</f>
        <v>-655.12</v>
      </c>
      <c r="G21" s="118"/>
      <c r="H21" s="116"/>
      <c r="I21" s="133" t="s">
        <v>85</v>
      </c>
      <c r="J21" s="122" t="s">
        <v>86</v>
      </c>
      <c r="K21" s="134" t="s">
        <v>64</v>
      </c>
      <c r="L21" s="134" t="s">
        <v>65</v>
      </c>
      <c r="M21" s="124" t="s">
        <v>87</v>
      </c>
      <c r="N21" s="124" t="s">
        <v>88</v>
      </c>
      <c r="O21" s="124" t="s">
        <v>89</v>
      </c>
      <c r="P21" s="124" t="s">
        <v>90</v>
      </c>
      <c r="Q21" s="132"/>
      <c r="R21" s="132"/>
    </row>
    <row r="22" spans="1:18" x14ac:dyDescent="0.25">
      <c r="B22" s="97">
        <v>16</v>
      </c>
      <c r="C22" s="197">
        <f>M12</f>
        <v>-793.51</v>
      </c>
      <c r="G22" s="118"/>
      <c r="H22" s="116"/>
      <c r="I22" s="116"/>
      <c r="J22" s="116"/>
      <c r="K22" s="116"/>
      <c r="L22" s="116"/>
      <c r="M22" s="116"/>
      <c r="N22" s="116"/>
      <c r="O22" s="116"/>
      <c r="P22" s="116"/>
      <c r="Q22" s="132"/>
      <c r="R22" s="132"/>
    </row>
    <row r="23" spans="1:18" ht="39" customHeight="1" x14ac:dyDescent="0.25">
      <c r="B23" s="97">
        <v>17</v>
      </c>
      <c r="C23" s="197">
        <f>M9</f>
        <v>-3520.28</v>
      </c>
      <c r="G23" s="118"/>
      <c r="H23" s="116"/>
      <c r="I23" s="135" t="s">
        <v>6</v>
      </c>
      <c r="J23" s="136" t="s">
        <v>7</v>
      </c>
      <c r="K23" s="137" t="s">
        <v>11</v>
      </c>
      <c r="L23" s="137" t="s">
        <v>16</v>
      </c>
      <c r="M23" s="137" t="s">
        <v>20</v>
      </c>
      <c r="N23" s="116"/>
      <c r="O23" s="122" t="s">
        <v>23</v>
      </c>
      <c r="P23" s="198">
        <v>1759.93</v>
      </c>
      <c r="Q23" s="132"/>
      <c r="R23" s="132"/>
    </row>
    <row r="24" spans="1:18" x14ac:dyDescent="0.25">
      <c r="B24" s="97">
        <v>18</v>
      </c>
      <c r="C24" s="197">
        <f>M10</f>
        <v>-4263.91</v>
      </c>
      <c r="G24" s="118"/>
      <c r="H24" s="116"/>
      <c r="I24" s="138"/>
      <c r="J24" s="139" t="s">
        <v>91</v>
      </c>
      <c r="K24" s="140" t="s">
        <v>92</v>
      </c>
      <c r="L24" s="141" t="s">
        <v>93</v>
      </c>
      <c r="M24" s="140" t="s">
        <v>94</v>
      </c>
      <c r="N24" s="116"/>
      <c r="O24" s="122" t="s">
        <v>66</v>
      </c>
      <c r="P24" s="198">
        <v>0</v>
      </c>
      <c r="Q24" s="198"/>
      <c r="R24" s="116"/>
    </row>
    <row r="25" spans="1:18" x14ac:dyDescent="0.25">
      <c r="A25" s="114"/>
      <c r="B25" s="97">
        <v>19</v>
      </c>
      <c r="C25" s="197">
        <f>M13</f>
        <v>139.02000000000001</v>
      </c>
      <c r="G25" s="118"/>
      <c r="H25" s="116"/>
      <c r="I25" s="116"/>
      <c r="J25" s="116"/>
      <c r="K25" s="116"/>
      <c r="L25" s="116"/>
      <c r="M25" s="116"/>
      <c r="N25" s="116"/>
      <c r="O25" s="122" t="s">
        <v>67</v>
      </c>
      <c r="P25" s="198">
        <v>0</v>
      </c>
      <c r="Q25" s="198"/>
      <c r="R25" s="132"/>
    </row>
    <row r="26" spans="1:18" x14ac:dyDescent="0.25">
      <c r="B26" s="97">
        <v>20</v>
      </c>
      <c r="C26" s="197">
        <f>N7</f>
        <v>144.91</v>
      </c>
      <c r="G26" s="118"/>
      <c r="H26" s="116"/>
      <c r="I26" s="116"/>
      <c r="J26" s="142" t="s">
        <v>17</v>
      </c>
      <c r="K26" s="142" t="s">
        <v>18</v>
      </c>
      <c r="L26" s="116"/>
      <c r="M26" s="116"/>
      <c r="N26" s="116"/>
      <c r="O26" s="116"/>
      <c r="P26" s="116"/>
      <c r="Q26" s="116"/>
      <c r="R26" s="116"/>
    </row>
    <row r="27" spans="1:18" x14ac:dyDescent="0.25">
      <c r="B27" s="97">
        <v>21</v>
      </c>
      <c r="C27" s="197">
        <f>N8</f>
        <v>219.39</v>
      </c>
      <c r="G27" s="143">
        <v>45419</v>
      </c>
      <c r="H27" s="116"/>
      <c r="I27" s="116"/>
      <c r="J27" s="199" t="s">
        <v>95</v>
      </c>
      <c r="K27" s="140" t="s">
        <v>96</v>
      </c>
      <c r="L27" s="116"/>
      <c r="M27" s="116"/>
      <c r="N27" s="116"/>
      <c r="O27" s="116"/>
      <c r="P27" s="116"/>
      <c r="Q27" s="116"/>
      <c r="R27" s="116"/>
    </row>
    <row r="28" spans="1:18" x14ac:dyDescent="0.25">
      <c r="B28" s="97">
        <v>22</v>
      </c>
      <c r="C28" s="197">
        <f>N11</f>
        <v>-18.7</v>
      </c>
      <c r="G28" s="118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</row>
    <row r="29" spans="1:18" x14ac:dyDescent="0.25">
      <c r="B29" s="97">
        <v>23</v>
      </c>
      <c r="C29" s="197">
        <f>N12</f>
        <v>-28.31</v>
      </c>
      <c r="G29" s="118"/>
      <c r="H29" s="116"/>
      <c r="I29" s="116"/>
      <c r="J29" s="116"/>
      <c r="K29" s="144">
        <f>K31</f>
        <v>2255</v>
      </c>
      <c r="L29" s="116"/>
      <c r="M29" s="116"/>
      <c r="N29" s="116"/>
      <c r="O29" s="118"/>
      <c r="P29" s="118"/>
      <c r="Q29" s="118"/>
      <c r="R29" s="118"/>
    </row>
    <row r="30" spans="1:18" ht="28.9" customHeight="1" x14ac:dyDescent="0.25">
      <c r="B30" s="97">
        <v>24</v>
      </c>
      <c r="C30" s="197">
        <f>N13</f>
        <v>0</v>
      </c>
      <c r="G30" s="118"/>
      <c r="H30" s="145" t="s">
        <v>23</v>
      </c>
      <c r="I30" s="120" t="s">
        <v>24</v>
      </c>
      <c r="J30" s="120" t="s">
        <v>25</v>
      </c>
      <c r="K30" s="120" t="s">
        <v>26</v>
      </c>
      <c r="L30" s="120" t="s">
        <v>27</v>
      </c>
      <c r="M30" s="120" t="s">
        <v>28</v>
      </c>
      <c r="N30" s="120" t="s">
        <v>29</v>
      </c>
      <c r="O30" s="120" t="s">
        <v>30</v>
      </c>
      <c r="P30" s="120" t="s">
        <v>31</v>
      </c>
      <c r="Q30" s="120" t="s">
        <v>32</v>
      </c>
      <c r="R30" s="120" t="s">
        <v>33</v>
      </c>
    </row>
    <row r="31" spans="1:18" x14ac:dyDescent="0.25">
      <c r="B31" s="97">
        <v>25</v>
      </c>
      <c r="C31" s="197">
        <f>N9</f>
        <v>-100.53</v>
      </c>
      <c r="G31" s="118"/>
      <c r="H31" s="145" t="s">
        <v>34</v>
      </c>
      <c r="I31" s="146" t="s">
        <v>97</v>
      </c>
      <c r="J31" s="145" t="s">
        <v>36</v>
      </c>
      <c r="K31" s="147">
        <v>2255</v>
      </c>
      <c r="L31" s="147">
        <v>-0.38155</v>
      </c>
      <c r="M31" s="147">
        <v>-860.4</v>
      </c>
      <c r="N31" s="147">
        <v>-24.56</v>
      </c>
      <c r="O31" s="147">
        <v>-860.4</v>
      </c>
      <c r="P31" s="148">
        <v>0.2</v>
      </c>
      <c r="Q31" s="147">
        <v>-172.08</v>
      </c>
      <c r="R31" s="147">
        <v>0.29435</v>
      </c>
    </row>
    <row r="32" spans="1:18" x14ac:dyDescent="0.25">
      <c r="B32" s="97">
        <v>26</v>
      </c>
      <c r="C32" s="197">
        <f>N10</f>
        <v>-152.21</v>
      </c>
      <c r="G32" s="118"/>
      <c r="H32" s="145" t="s">
        <v>34</v>
      </c>
      <c r="I32" s="146" t="s">
        <v>98</v>
      </c>
      <c r="J32" s="145" t="s">
        <v>36</v>
      </c>
      <c r="K32" s="147">
        <v>2255</v>
      </c>
      <c r="L32" s="147">
        <v>-0.46216000000000002</v>
      </c>
      <c r="M32" s="147">
        <v>-1042.1600000000001</v>
      </c>
      <c r="N32" s="147">
        <v>-37.19</v>
      </c>
      <c r="O32" s="147">
        <v>0</v>
      </c>
      <c r="P32" s="148">
        <v>0</v>
      </c>
      <c r="Q32" s="147">
        <v>0</v>
      </c>
      <c r="R32" s="147">
        <v>0.44567000000000001</v>
      </c>
    </row>
    <row r="33" spans="1:25" x14ac:dyDescent="0.25">
      <c r="A33" s="114"/>
      <c r="B33" s="97">
        <v>27</v>
      </c>
      <c r="C33" s="197">
        <f>O7</f>
        <v>5074.01</v>
      </c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</row>
    <row r="34" spans="1:25" x14ac:dyDescent="0.25">
      <c r="B34" s="97">
        <v>28</v>
      </c>
      <c r="C34" s="197">
        <f>O8</f>
        <v>7682.28</v>
      </c>
      <c r="G34" s="118"/>
      <c r="H34" s="118"/>
      <c r="I34" s="118"/>
      <c r="J34" s="118"/>
      <c r="K34" s="118"/>
      <c r="L34" s="118"/>
      <c r="M34" s="118"/>
      <c r="N34" s="118"/>
      <c r="O34" s="149"/>
      <c r="P34" s="149"/>
      <c r="Q34" s="149"/>
      <c r="R34" s="149"/>
      <c r="S34" s="96"/>
      <c r="T34" s="96"/>
      <c r="U34" s="96"/>
    </row>
    <row r="35" spans="1:25" ht="15.75" customHeight="1" x14ac:dyDescent="0.25">
      <c r="B35" s="97">
        <v>29</v>
      </c>
      <c r="C35" s="197">
        <f>O11</f>
        <v>-655.12</v>
      </c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96"/>
      <c r="T35" s="96"/>
      <c r="U35" s="96"/>
      <c r="V35" s="96"/>
      <c r="W35" s="96"/>
      <c r="X35" s="96"/>
      <c r="Y35" s="96"/>
    </row>
    <row r="36" spans="1:25" ht="15.75" customHeight="1" x14ac:dyDescent="0.25">
      <c r="B36" s="97">
        <v>30</v>
      </c>
      <c r="C36" s="197">
        <f>O12</f>
        <v>0</v>
      </c>
    </row>
    <row r="37" spans="1:25" x14ac:dyDescent="0.25">
      <c r="B37" s="97">
        <v>31</v>
      </c>
      <c r="C37" s="197">
        <f>O13</f>
        <v>0</v>
      </c>
    </row>
    <row r="38" spans="1:25" ht="15.75" customHeight="1" x14ac:dyDescent="0.25">
      <c r="B38" s="97">
        <v>32</v>
      </c>
      <c r="C38" s="197">
        <f>O9</f>
        <v>-3520.28</v>
      </c>
    </row>
    <row r="39" spans="1:25" x14ac:dyDescent="0.25">
      <c r="B39" s="97">
        <v>33</v>
      </c>
      <c r="C39" s="197">
        <f>O10</f>
        <v>0</v>
      </c>
    </row>
    <row r="40" spans="1:25" x14ac:dyDescent="0.25">
      <c r="A40" s="114"/>
      <c r="B40" s="97">
        <v>34</v>
      </c>
      <c r="C40" s="98">
        <f>P7</f>
        <v>0.2</v>
      </c>
    </row>
    <row r="41" spans="1:25" x14ac:dyDescent="0.25">
      <c r="B41" s="97">
        <v>35</v>
      </c>
      <c r="C41" s="98">
        <f>P8</f>
        <v>0.2</v>
      </c>
    </row>
    <row r="42" spans="1:25" x14ac:dyDescent="0.25">
      <c r="B42" s="97">
        <v>36</v>
      </c>
      <c r="C42" s="98">
        <f>P11</f>
        <v>0.2</v>
      </c>
    </row>
    <row r="43" spans="1:25" ht="18.75" customHeight="1" x14ac:dyDescent="0.25">
      <c r="B43" s="97">
        <v>37</v>
      </c>
      <c r="C43" s="98">
        <f>P12</f>
        <v>0</v>
      </c>
    </row>
    <row r="44" spans="1:25" ht="18.75" customHeight="1" x14ac:dyDescent="0.25">
      <c r="B44" s="97">
        <v>38</v>
      </c>
      <c r="C44" s="98">
        <f>P13</f>
        <v>0</v>
      </c>
    </row>
    <row r="45" spans="1:25" x14ac:dyDescent="0.25">
      <c r="B45" s="97">
        <v>39</v>
      </c>
      <c r="C45" s="98">
        <f>P9</f>
        <v>0.2</v>
      </c>
    </row>
    <row r="46" spans="1:25" x14ac:dyDescent="0.25">
      <c r="B46" s="97">
        <v>40</v>
      </c>
      <c r="C46" s="98">
        <f>P10</f>
        <v>0</v>
      </c>
    </row>
    <row r="47" spans="1:25" x14ac:dyDescent="0.25">
      <c r="A47" s="114"/>
      <c r="B47" s="97">
        <v>41</v>
      </c>
      <c r="C47" s="197">
        <f>Q7</f>
        <v>1014.8</v>
      </c>
    </row>
    <row r="48" spans="1:25" x14ac:dyDescent="0.25">
      <c r="B48" s="97">
        <v>42</v>
      </c>
      <c r="C48" s="197">
        <f>Q8</f>
        <v>1536.45</v>
      </c>
    </row>
    <row r="49" spans="1:3" x14ac:dyDescent="0.25">
      <c r="B49" s="97">
        <v>43</v>
      </c>
      <c r="C49" s="197">
        <f>Q11</f>
        <v>-131.02000000000001</v>
      </c>
    </row>
    <row r="50" spans="1:3" x14ac:dyDescent="0.25">
      <c r="B50" s="97">
        <v>44</v>
      </c>
      <c r="C50" s="197">
        <f>Q12</f>
        <v>0</v>
      </c>
    </row>
    <row r="51" spans="1:3" x14ac:dyDescent="0.25">
      <c r="B51" s="97">
        <v>45</v>
      </c>
      <c r="C51" s="197">
        <f>Q13</f>
        <v>0</v>
      </c>
    </row>
    <row r="52" spans="1:3" x14ac:dyDescent="0.25">
      <c r="B52" s="97">
        <v>46</v>
      </c>
      <c r="C52" s="197">
        <f>Q9</f>
        <v>-704.05</v>
      </c>
    </row>
    <row r="53" spans="1:3" x14ac:dyDescent="0.25">
      <c r="B53" s="97">
        <v>47</v>
      </c>
      <c r="C53" s="197">
        <f>Q10</f>
        <v>0</v>
      </c>
    </row>
    <row r="54" spans="1:3" x14ac:dyDescent="0.25">
      <c r="A54" s="114"/>
      <c r="B54" s="97">
        <v>48</v>
      </c>
      <c r="C54" s="196">
        <f>R7</f>
        <v>0.29435</v>
      </c>
    </row>
    <row r="55" spans="1:3" x14ac:dyDescent="0.25">
      <c r="B55" s="97">
        <v>49</v>
      </c>
      <c r="C55" s="196">
        <f>R8</f>
        <v>0.44567000000000001</v>
      </c>
    </row>
    <row r="56" spans="1:3" x14ac:dyDescent="0.25">
      <c r="B56" s="97">
        <v>36</v>
      </c>
      <c r="C56" s="196">
        <f>R11</f>
        <v>0.29435</v>
      </c>
    </row>
    <row r="57" spans="1:3" x14ac:dyDescent="0.25">
      <c r="B57" s="97">
        <v>37</v>
      </c>
      <c r="C57" s="196">
        <f>R12</f>
        <v>0.44567000000000001</v>
      </c>
    </row>
    <row r="58" spans="1:3" x14ac:dyDescent="0.25">
      <c r="B58" s="97">
        <v>38</v>
      </c>
      <c r="C58" s="196">
        <f>R13</f>
        <v>0</v>
      </c>
    </row>
    <row r="59" spans="1:3" x14ac:dyDescent="0.25">
      <c r="B59" s="97">
        <v>39</v>
      </c>
      <c r="C59" s="196">
        <f>R9</f>
        <v>0.29435</v>
      </c>
    </row>
    <row r="60" spans="1:3" x14ac:dyDescent="0.25">
      <c r="B60" s="97">
        <v>40</v>
      </c>
      <c r="C60" s="196">
        <f>R10</f>
        <v>0.44567000000000001</v>
      </c>
    </row>
    <row r="61" spans="1:3" x14ac:dyDescent="0.25">
      <c r="B61" s="115">
        <v>115</v>
      </c>
      <c r="C61" s="200">
        <f>K29</f>
        <v>2255</v>
      </c>
    </row>
  </sheetData>
  <pageMargins left="0.511811024" right="0.511811024" top="0.78740157499999996" bottom="0.78740157499999996" header="0.31496062000000002" footer="0.31496062000000002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K80"/>
  <sheetViews>
    <sheetView topLeftCell="A6" zoomScale="70" zoomScaleNormal="70" workbookViewId="0">
      <selection activeCell="U22" sqref="U22"/>
    </sheetView>
  </sheetViews>
  <sheetFormatPr defaultRowHeight="15" x14ac:dyDescent="0.25"/>
  <cols>
    <col min="1" max="20" width="2.140625" style="150" customWidth="1"/>
    <col min="25" max="25" width="32" style="150" customWidth="1"/>
    <col min="26" max="26" width="8.85546875" style="150" customWidth="1"/>
    <col min="27" max="27" width="21.42578125" style="150" customWidth="1"/>
    <col min="28" max="28" width="12.140625" style="150" customWidth="1"/>
    <col min="29" max="29" width="16.28515625" style="150" customWidth="1"/>
    <col min="30" max="30" width="14" style="150" customWidth="1"/>
    <col min="31" max="31" width="15" style="150" bestFit="1" customWidth="1"/>
    <col min="32" max="32" width="16.7109375" style="150" customWidth="1"/>
    <col min="33" max="34" width="14" style="150" customWidth="1"/>
    <col min="35" max="35" width="13.140625" style="150" bestFit="1" customWidth="1"/>
    <col min="36" max="36" width="12.5703125" style="150" customWidth="1"/>
  </cols>
  <sheetData>
    <row r="4" spans="3:36" x14ac:dyDescent="0.25">
      <c r="C4" t="s">
        <v>99</v>
      </c>
      <c r="Y4" t="s">
        <v>100</v>
      </c>
    </row>
    <row r="5" spans="3:36" ht="68.25" customHeight="1" x14ac:dyDescent="0.25">
      <c r="C5" s="1"/>
      <c r="D5" s="3" t="s">
        <v>101</v>
      </c>
      <c r="E5" s="3" t="s">
        <v>102</v>
      </c>
      <c r="F5" s="3" t="s">
        <v>103</v>
      </c>
      <c r="J5" s="166"/>
      <c r="K5" s="10" t="s">
        <v>104</v>
      </c>
      <c r="L5" s="11" t="s">
        <v>105</v>
      </c>
      <c r="M5" s="11" t="s">
        <v>106</v>
      </c>
      <c r="N5" s="11" t="s">
        <v>107</v>
      </c>
      <c r="O5" s="11" t="s">
        <v>108</v>
      </c>
      <c r="P5" s="11" t="s">
        <v>109</v>
      </c>
      <c r="Q5" s="16" t="s">
        <v>110</v>
      </c>
      <c r="Y5" s="22" t="s">
        <v>24</v>
      </c>
      <c r="Z5" s="22" t="s">
        <v>25</v>
      </c>
      <c r="AA5" s="22" t="s">
        <v>26</v>
      </c>
      <c r="AB5" s="22" t="s">
        <v>27</v>
      </c>
      <c r="AC5" s="22" t="s">
        <v>28</v>
      </c>
      <c r="AD5" s="22" t="s">
        <v>29</v>
      </c>
      <c r="AE5" s="22" t="s">
        <v>30</v>
      </c>
      <c r="AF5" s="22" t="s">
        <v>31</v>
      </c>
      <c r="AG5" s="22" t="s">
        <v>32</v>
      </c>
      <c r="AH5" s="22" t="s">
        <v>33</v>
      </c>
      <c r="AI5" s="18"/>
    </row>
    <row r="6" spans="3:36" ht="18" customHeight="1" x14ac:dyDescent="0.25">
      <c r="C6" s="4">
        <v>45047</v>
      </c>
      <c r="D6" s="12">
        <v>1445</v>
      </c>
      <c r="E6" s="12">
        <v>0</v>
      </c>
      <c r="F6" s="12">
        <v>1445</v>
      </c>
      <c r="G6" s="9"/>
      <c r="H6" s="9"/>
      <c r="I6" s="201">
        <v>45108</v>
      </c>
      <c r="J6" s="7" t="s">
        <v>34</v>
      </c>
      <c r="K6" s="12">
        <v>2167</v>
      </c>
      <c r="L6" s="12">
        <v>0</v>
      </c>
      <c r="M6" s="12">
        <v>2041.92</v>
      </c>
      <c r="N6" s="12">
        <v>0</v>
      </c>
      <c r="O6" s="6">
        <f>Q6-M6</f>
        <v>0</v>
      </c>
      <c r="P6" s="7"/>
      <c r="Q6" s="13">
        <f>M6</f>
        <v>2041.92</v>
      </c>
      <c r="R6" s="202">
        <v>507.8</v>
      </c>
      <c r="S6" s="13">
        <f>K6-M6</f>
        <v>125.07999999999993</v>
      </c>
      <c r="Y6" s="23" t="s">
        <v>111</v>
      </c>
      <c r="Z6" s="2" t="s">
        <v>36</v>
      </c>
      <c r="AA6" s="2">
        <v>2167</v>
      </c>
      <c r="AB6" s="203">
        <v>0.39263999999999999</v>
      </c>
      <c r="AC6" s="203">
        <v>850.85</v>
      </c>
      <c r="AD6" s="203">
        <v>33.14</v>
      </c>
      <c r="AE6" s="203">
        <v>850.85</v>
      </c>
      <c r="AF6" s="21">
        <v>0.2</v>
      </c>
      <c r="AG6" s="203">
        <v>170.17</v>
      </c>
      <c r="AH6" s="203">
        <v>0.29881999999999997</v>
      </c>
    </row>
    <row r="7" spans="3:36" ht="18" customHeight="1" x14ac:dyDescent="0.25">
      <c r="C7" s="4">
        <v>45078</v>
      </c>
      <c r="D7" s="12">
        <v>11344</v>
      </c>
      <c r="E7" s="12">
        <v>11344</v>
      </c>
      <c r="F7" s="12">
        <v>1445</v>
      </c>
      <c r="R7" s="204"/>
      <c r="Y7" s="23" t="s">
        <v>112</v>
      </c>
      <c r="Z7" s="2" t="s">
        <v>36</v>
      </c>
      <c r="AA7" s="2">
        <v>2167</v>
      </c>
      <c r="AB7" s="203">
        <v>0.58459000000000005</v>
      </c>
      <c r="AC7" s="203">
        <v>1266.81</v>
      </c>
      <c r="AD7" s="203">
        <v>49.34</v>
      </c>
      <c r="AE7" s="203">
        <v>1266.81</v>
      </c>
      <c r="AF7" s="21">
        <v>0.2</v>
      </c>
      <c r="AG7" s="203">
        <v>253.36</v>
      </c>
      <c r="AH7" s="203">
        <v>0.44491000000000003</v>
      </c>
    </row>
    <row r="8" spans="3:36" ht="18" customHeight="1" x14ac:dyDescent="0.25">
      <c r="R8" s="204"/>
      <c r="Y8" s="23" t="s">
        <v>113</v>
      </c>
      <c r="Z8" s="2" t="s">
        <v>36</v>
      </c>
      <c r="AA8" s="2">
        <v>2041</v>
      </c>
      <c r="AB8" s="203">
        <v>-0.39263999999999999</v>
      </c>
      <c r="AC8" s="203">
        <v>-801.73</v>
      </c>
      <c r="AD8" s="203">
        <v>-31.23</v>
      </c>
      <c r="AE8" s="203">
        <v>-801.73</v>
      </c>
      <c r="AF8" s="21">
        <v>0.2</v>
      </c>
      <c r="AG8" s="203">
        <v>-160.34</v>
      </c>
      <c r="AH8" s="203">
        <v>0.29881999999999997</v>
      </c>
    </row>
    <row r="9" spans="3:36" ht="18" customHeight="1" x14ac:dyDescent="0.25">
      <c r="R9" s="204"/>
      <c r="Y9" s="23" t="s">
        <v>114</v>
      </c>
      <c r="Z9" s="2" t="s">
        <v>36</v>
      </c>
      <c r="AA9" s="2">
        <v>2041</v>
      </c>
      <c r="AB9" s="203">
        <v>-0.46768999999999999</v>
      </c>
      <c r="AC9" s="203">
        <v>-954.98</v>
      </c>
      <c r="AD9" s="203">
        <v>-46.51</v>
      </c>
      <c r="AE9" s="203">
        <v>0</v>
      </c>
      <c r="AF9" s="21">
        <v>0</v>
      </c>
      <c r="AG9" s="203">
        <v>0</v>
      </c>
      <c r="AH9" s="203">
        <v>0.44491000000000003</v>
      </c>
    </row>
    <row r="10" spans="3:36" ht="18" customHeight="1" x14ac:dyDescent="0.25">
      <c r="J10" s="166"/>
      <c r="K10" s="10" t="s">
        <v>104</v>
      </c>
      <c r="L10" s="11" t="s">
        <v>105</v>
      </c>
      <c r="M10" s="11" t="s">
        <v>106</v>
      </c>
      <c r="N10" s="11" t="s">
        <v>107</v>
      </c>
      <c r="O10" s="11" t="s">
        <v>108</v>
      </c>
      <c r="P10" s="11" t="s">
        <v>109</v>
      </c>
      <c r="Q10" s="16" t="s">
        <v>110</v>
      </c>
      <c r="R10" s="204"/>
      <c r="Y10" s="23" t="s">
        <v>38</v>
      </c>
      <c r="Z10" s="2"/>
      <c r="AA10" s="2"/>
      <c r="AB10" s="203"/>
      <c r="AC10" s="203">
        <v>146.85</v>
      </c>
      <c r="AD10" s="203">
        <v>0</v>
      </c>
      <c r="AE10" s="203">
        <v>0</v>
      </c>
      <c r="AF10" s="21">
        <v>0</v>
      </c>
      <c r="AG10" s="203">
        <v>0</v>
      </c>
      <c r="AH10" s="203"/>
    </row>
    <row r="11" spans="3:36" ht="18" customHeight="1" x14ac:dyDescent="0.25">
      <c r="I11" s="201">
        <v>45108</v>
      </c>
      <c r="J11" s="7" t="s">
        <v>77</v>
      </c>
      <c r="K11" s="12">
        <v>2415</v>
      </c>
      <c r="L11" s="12">
        <v>0</v>
      </c>
      <c r="M11" s="12">
        <v>2315</v>
      </c>
      <c r="N11" s="12">
        <v>180.68</v>
      </c>
      <c r="O11" s="6">
        <f>Q11-M11</f>
        <v>0</v>
      </c>
      <c r="P11" s="7"/>
      <c r="Q11" s="13">
        <f>M11</f>
        <v>2315</v>
      </c>
      <c r="R11" s="202">
        <v>515.23</v>
      </c>
      <c r="S11" s="13">
        <f>K11-M11</f>
        <v>100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pans="3:36" ht="18" customHeight="1" x14ac:dyDescent="0.25">
      <c r="R12" s="204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pans="3:36" ht="18" customHeight="1" x14ac:dyDescent="0.25">
      <c r="R13" s="204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3:36" ht="18" customHeight="1" x14ac:dyDescent="0.25">
      <c r="R14" s="204"/>
      <c r="Y14" s="18" t="s">
        <v>115</v>
      </c>
      <c r="Z14" s="18"/>
      <c r="AA14" s="18"/>
      <c r="AB14" s="18"/>
      <c r="AC14" s="18"/>
      <c r="AD14" s="18"/>
      <c r="AE14" s="18"/>
      <c r="AF14" s="18"/>
      <c r="AG14" s="18"/>
      <c r="AH14" s="18"/>
    </row>
    <row r="15" spans="3:36" ht="55.5" customHeight="1" x14ac:dyDescent="0.25">
      <c r="R15" s="204"/>
      <c r="Y15" s="22" t="s">
        <v>24</v>
      </c>
      <c r="Z15" s="22" t="s">
        <v>25</v>
      </c>
      <c r="AA15" s="22" t="s">
        <v>26</v>
      </c>
      <c r="AB15" s="22" t="s">
        <v>27</v>
      </c>
      <c r="AC15" s="22" t="s">
        <v>28</v>
      </c>
      <c r="AD15" s="22" t="s">
        <v>29</v>
      </c>
      <c r="AE15" s="22" t="s">
        <v>30</v>
      </c>
      <c r="AF15" s="22" t="s">
        <v>31</v>
      </c>
      <c r="AG15" s="22" t="s">
        <v>32</v>
      </c>
      <c r="AH15" s="22" t="s">
        <v>33</v>
      </c>
    </row>
    <row r="16" spans="3:36" ht="18" customHeight="1" x14ac:dyDescent="0.25">
      <c r="R16" s="204"/>
      <c r="Y16" s="23" t="s">
        <v>111</v>
      </c>
      <c r="Z16" s="2" t="s">
        <v>36</v>
      </c>
      <c r="AA16" s="20">
        <v>2415</v>
      </c>
      <c r="AB16" s="203">
        <v>0.39263999999999999</v>
      </c>
      <c r="AC16" s="203">
        <v>948.22</v>
      </c>
      <c r="AD16" s="203">
        <v>36.93</v>
      </c>
      <c r="AE16" s="203">
        <v>948.22</v>
      </c>
      <c r="AF16" s="21">
        <v>0.2</v>
      </c>
      <c r="AG16" s="203">
        <v>189.64</v>
      </c>
      <c r="AH16" s="203">
        <v>0.29881999999999997</v>
      </c>
      <c r="AJ16" s="176">
        <f>AG6+AG16+AG26</f>
        <v>1018.1099999999999</v>
      </c>
    </row>
    <row r="17" spans="9:37" ht="18" customHeight="1" x14ac:dyDescent="0.25">
      <c r="K17" s="10" t="s">
        <v>104</v>
      </c>
      <c r="L17" s="11" t="s">
        <v>105</v>
      </c>
      <c r="M17" s="11" t="s">
        <v>106</v>
      </c>
      <c r="N17" s="11" t="s">
        <v>107</v>
      </c>
      <c r="O17" s="11" t="s">
        <v>108</v>
      </c>
      <c r="P17" s="11" t="s">
        <v>109</v>
      </c>
      <c r="Q17" s="16" t="s">
        <v>110</v>
      </c>
      <c r="R17" s="204"/>
      <c r="Y17" s="23" t="s">
        <v>112</v>
      </c>
      <c r="Z17" s="2" t="s">
        <v>36</v>
      </c>
      <c r="AA17" s="20">
        <v>2415</v>
      </c>
      <c r="AB17" s="203">
        <v>0.58460000000000001</v>
      </c>
      <c r="AC17" s="203">
        <v>1411.8</v>
      </c>
      <c r="AD17" s="203">
        <v>54.99</v>
      </c>
      <c r="AE17" s="203">
        <v>1411.8</v>
      </c>
      <c r="AF17" s="21">
        <v>0.2</v>
      </c>
      <c r="AG17" s="203">
        <v>282.36</v>
      </c>
      <c r="AH17" s="203">
        <v>0.44491000000000003</v>
      </c>
    </row>
    <row r="18" spans="9:37" ht="18" customHeight="1" x14ac:dyDescent="0.25">
      <c r="I18" s="201">
        <v>45108</v>
      </c>
      <c r="J18" s="7" t="s">
        <v>116</v>
      </c>
      <c r="K18" s="12">
        <v>8383</v>
      </c>
      <c r="L18" s="12">
        <v>0</v>
      </c>
      <c r="M18" s="12">
        <v>6806.4</v>
      </c>
      <c r="N18" s="12">
        <v>0</v>
      </c>
      <c r="O18" s="6">
        <f>Q18-M18</f>
        <v>0</v>
      </c>
      <c r="P18" s="7"/>
      <c r="Q18" s="13">
        <f>M18</f>
        <v>6806.4</v>
      </c>
      <c r="R18" s="202">
        <v>2483.37</v>
      </c>
      <c r="S18" s="13">
        <f>K18-M18</f>
        <v>1576.6000000000004</v>
      </c>
      <c r="Y18" s="23" t="s">
        <v>113</v>
      </c>
      <c r="Z18" s="2" t="s">
        <v>36</v>
      </c>
      <c r="AA18" s="20">
        <v>2315</v>
      </c>
      <c r="AB18" s="203">
        <v>-0.39262999999999998</v>
      </c>
      <c r="AC18" s="203">
        <v>-908.95</v>
      </c>
      <c r="AD18" s="203">
        <v>-35.4</v>
      </c>
      <c r="AE18" s="203">
        <v>-908.95</v>
      </c>
      <c r="AF18" s="21">
        <v>0.2</v>
      </c>
      <c r="AG18" s="203">
        <v>-181.79</v>
      </c>
      <c r="AH18" s="203">
        <v>0.29881999999999997</v>
      </c>
    </row>
    <row r="19" spans="9:37" ht="18" customHeight="1" x14ac:dyDescent="0.25">
      <c r="J19" s="166"/>
      <c r="Y19" s="23" t="s">
        <v>114</v>
      </c>
      <c r="Z19" s="2" t="s">
        <v>36</v>
      </c>
      <c r="AA19" s="20">
        <v>2315</v>
      </c>
      <c r="AB19" s="203">
        <v>-0.46767999999999998</v>
      </c>
      <c r="AC19" s="203">
        <v>-1082.69</v>
      </c>
      <c r="AD19" s="203">
        <v>-52.73</v>
      </c>
      <c r="AE19" s="203">
        <v>0</v>
      </c>
      <c r="AF19" s="21">
        <v>0</v>
      </c>
      <c r="AG19" s="203">
        <v>0</v>
      </c>
      <c r="AH19" s="203">
        <v>0.44491000000000003</v>
      </c>
    </row>
    <row r="20" spans="9:37" ht="18" customHeight="1" x14ac:dyDescent="0.25">
      <c r="Y20" s="23" t="s">
        <v>38</v>
      </c>
      <c r="Z20" s="2"/>
      <c r="AA20" s="2"/>
      <c r="AB20" s="203"/>
      <c r="AC20" s="203">
        <v>146.85</v>
      </c>
      <c r="AD20" s="203">
        <v>0</v>
      </c>
      <c r="AE20" s="203">
        <v>0</v>
      </c>
      <c r="AF20" s="21">
        <v>0</v>
      </c>
      <c r="AG20" s="203">
        <v>0</v>
      </c>
      <c r="AH20" s="203"/>
    </row>
    <row r="21" spans="9:37" ht="18" customHeight="1" x14ac:dyDescent="0.25"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pans="9:37" x14ac:dyDescent="0.25"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pans="9:37" x14ac:dyDescent="0.25"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pans="9:37" x14ac:dyDescent="0.25">
      <c r="K24" s="15">
        <f>K6+K11+K18</f>
        <v>12965</v>
      </c>
      <c r="L24" s="13">
        <f>L6+L11+L18</f>
        <v>0</v>
      </c>
      <c r="M24" s="15">
        <f>M6+M11+M18</f>
        <v>11163.32</v>
      </c>
      <c r="N24" s="15">
        <f>N6+N11+N18</f>
        <v>180.68</v>
      </c>
      <c r="O24" s="15">
        <f>O6+O11+O18</f>
        <v>0</v>
      </c>
      <c r="P24" s="14"/>
      <c r="S24" s="8">
        <f>K24-M24</f>
        <v>1801.6800000000003</v>
      </c>
      <c r="Y24" s="18" t="s">
        <v>117</v>
      </c>
      <c r="Z24" s="18"/>
      <c r="AA24" s="18"/>
      <c r="AB24" s="18"/>
      <c r="AC24" s="18"/>
      <c r="AD24" s="18"/>
      <c r="AE24" s="18"/>
      <c r="AF24" s="18"/>
      <c r="AG24" s="18"/>
      <c r="AH24" s="18"/>
    </row>
    <row r="25" spans="9:37" ht="43.15" customHeight="1" x14ac:dyDescent="0.25">
      <c r="Y25" s="22" t="s">
        <v>24</v>
      </c>
      <c r="Z25" s="22" t="s">
        <v>25</v>
      </c>
      <c r="AA25" s="22" t="s">
        <v>26</v>
      </c>
      <c r="AB25" s="22" t="s">
        <v>27</v>
      </c>
      <c r="AC25" s="22" t="s">
        <v>28</v>
      </c>
      <c r="AD25" s="22" t="s">
        <v>29</v>
      </c>
      <c r="AE25" s="22" t="s">
        <v>30</v>
      </c>
      <c r="AF25" s="22" t="s">
        <v>31</v>
      </c>
      <c r="AG25" s="22" t="s">
        <v>32</v>
      </c>
      <c r="AH25" s="22" t="s">
        <v>33</v>
      </c>
    </row>
    <row r="26" spans="9:37" x14ac:dyDescent="0.25">
      <c r="Y26" s="23" t="s">
        <v>111</v>
      </c>
      <c r="Z26" s="2" t="s">
        <v>36</v>
      </c>
      <c r="AA26" s="20">
        <v>8383</v>
      </c>
      <c r="AB26" s="203">
        <v>0.39263999999999999</v>
      </c>
      <c r="AC26" s="203">
        <v>3291.52</v>
      </c>
      <c r="AD26" s="203">
        <v>128.22</v>
      </c>
      <c r="AE26" s="203">
        <v>3291.52</v>
      </c>
      <c r="AF26" s="21">
        <v>0.2</v>
      </c>
      <c r="AG26" s="203">
        <v>658.3</v>
      </c>
      <c r="AH26" s="203">
        <v>0.29881999999999997</v>
      </c>
      <c r="AI26" s="176">
        <f>AG26+AD26</f>
        <v>786.52</v>
      </c>
      <c r="AJ26" s="29">
        <f>1-(AH26/AB26)</f>
        <v>0.23894661776691117</v>
      </c>
      <c r="AK26">
        <f>0.09*AA26</f>
        <v>754.47</v>
      </c>
    </row>
    <row r="27" spans="9:37" x14ac:dyDescent="0.25">
      <c r="Y27" s="23" t="s">
        <v>112</v>
      </c>
      <c r="Z27" s="2" t="s">
        <v>36</v>
      </c>
      <c r="AA27" s="20">
        <v>8383</v>
      </c>
      <c r="AB27" s="203">
        <v>0.58460999999999996</v>
      </c>
      <c r="AC27" s="203">
        <v>4900.75</v>
      </c>
      <c r="AD27" s="203">
        <v>190.92</v>
      </c>
      <c r="AE27" s="203">
        <v>4900.75</v>
      </c>
      <c r="AF27" s="21">
        <v>0.2</v>
      </c>
      <c r="AG27" s="203">
        <v>980.15</v>
      </c>
      <c r="AH27" s="203">
        <v>0.44491000000000003</v>
      </c>
    </row>
    <row r="28" spans="9:37" x14ac:dyDescent="0.25">
      <c r="Y28" s="23" t="s">
        <v>113</v>
      </c>
      <c r="Z28" s="2" t="s">
        <v>36</v>
      </c>
      <c r="AA28" s="20">
        <v>6806</v>
      </c>
      <c r="AB28" s="203">
        <v>-0.39265</v>
      </c>
      <c r="AC28" s="203">
        <v>-2672.5</v>
      </c>
      <c r="AD28" s="203">
        <v>-104.12</v>
      </c>
      <c r="AE28" s="203">
        <v>-2672.5</v>
      </c>
      <c r="AF28" s="21">
        <v>0.2</v>
      </c>
      <c r="AG28" s="203">
        <v>-534.5</v>
      </c>
      <c r="AH28" s="203">
        <v>0.29881999999999997</v>
      </c>
    </row>
    <row r="29" spans="9:37" x14ac:dyDescent="0.25">
      <c r="Y29" s="23" t="s">
        <v>114</v>
      </c>
      <c r="Z29" s="2" t="s">
        <v>36</v>
      </c>
      <c r="AA29" s="20">
        <v>6806</v>
      </c>
      <c r="AB29" s="203">
        <v>-0.46767999999999998</v>
      </c>
      <c r="AC29" s="203">
        <v>-3183.25</v>
      </c>
      <c r="AD29" s="203">
        <v>-155.02000000000001</v>
      </c>
      <c r="AE29" s="203">
        <v>0</v>
      </c>
      <c r="AF29" s="21">
        <v>0</v>
      </c>
      <c r="AG29" s="203">
        <v>0</v>
      </c>
      <c r="AH29" s="203">
        <v>0.44491000000000003</v>
      </c>
    </row>
    <row r="30" spans="9:37" x14ac:dyDescent="0.25">
      <c r="Y30" s="23" t="s">
        <v>38</v>
      </c>
      <c r="Z30" s="2"/>
      <c r="AA30" s="2"/>
      <c r="AB30" s="203"/>
      <c r="AC30" s="203">
        <v>146.85</v>
      </c>
      <c r="AD30" s="203">
        <v>0</v>
      </c>
      <c r="AE30" s="203">
        <v>0</v>
      </c>
      <c r="AF30" s="21">
        <v>0</v>
      </c>
      <c r="AG30" s="203">
        <v>0</v>
      </c>
      <c r="AH30" s="203"/>
    </row>
    <row r="34" spans="24:34" ht="43.15" customHeight="1" x14ac:dyDescent="0.25">
      <c r="X34" s="22" t="s">
        <v>84</v>
      </c>
      <c r="Y34" s="22" t="s">
        <v>24</v>
      </c>
      <c r="Z34" s="22" t="s">
        <v>25</v>
      </c>
      <c r="AA34" s="22" t="s">
        <v>26</v>
      </c>
      <c r="AB34" s="22" t="s">
        <v>27</v>
      </c>
      <c r="AC34" s="22" t="s">
        <v>28</v>
      </c>
      <c r="AD34" s="22" t="s">
        <v>29</v>
      </c>
      <c r="AE34" s="22" t="s">
        <v>30</v>
      </c>
      <c r="AF34" s="22" t="s">
        <v>31</v>
      </c>
      <c r="AG34" s="22" t="s">
        <v>32</v>
      </c>
      <c r="AH34" s="22" t="s">
        <v>33</v>
      </c>
    </row>
    <row r="35" spans="24:34" x14ac:dyDescent="0.25">
      <c r="X35" s="30" t="s">
        <v>34</v>
      </c>
      <c r="Y35" s="24" t="s">
        <v>111</v>
      </c>
      <c r="Z35" s="2" t="s">
        <v>36</v>
      </c>
      <c r="AA35" s="2">
        <v>2167</v>
      </c>
      <c r="AB35" s="203">
        <v>0.39263999999999999</v>
      </c>
      <c r="AC35" s="203">
        <v>850.85</v>
      </c>
      <c r="AD35" s="203">
        <v>33.14</v>
      </c>
      <c r="AE35" s="203">
        <v>850.85</v>
      </c>
      <c r="AF35" s="21">
        <v>0.2</v>
      </c>
      <c r="AG35" s="203">
        <v>170.17</v>
      </c>
      <c r="AH35" s="203">
        <v>0.29881999999999997</v>
      </c>
    </row>
    <row r="36" spans="24:34" x14ac:dyDescent="0.25">
      <c r="X36" s="30" t="s">
        <v>77</v>
      </c>
      <c r="Y36" s="24" t="s">
        <v>111</v>
      </c>
      <c r="Z36" s="2" t="s">
        <v>36</v>
      </c>
      <c r="AA36" s="20">
        <v>2415</v>
      </c>
      <c r="AB36" s="203">
        <v>0.39263999999999999</v>
      </c>
      <c r="AC36" s="203">
        <v>948.22</v>
      </c>
      <c r="AD36" s="203">
        <v>36.93</v>
      </c>
      <c r="AE36" s="203">
        <v>948.22</v>
      </c>
      <c r="AF36" s="21">
        <v>0.2</v>
      </c>
      <c r="AG36" s="203">
        <v>189.64</v>
      </c>
      <c r="AH36" s="203">
        <v>0.29881999999999997</v>
      </c>
    </row>
    <row r="37" spans="24:34" x14ac:dyDescent="0.25">
      <c r="X37" s="30" t="s">
        <v>116</v>
      </c>
      <c r="Y37" s="24" t="s">
        <v>111</v>
      </c>
      <c r="Z37" s="2" t="s">
        <v>36</v>
      </c>
      <c r="AA37" s="20">
        <v>8383</v>
      </c>
      <c r="AB37" s="203">
        <v>0.39263999999999999</v>
      </c>
      <c r="AC37" s="203">
        <v>3291.52</v>
      </c>
      <c r="AD37" s="203">
        <v>128.22</v>
      </c>
      <c r="AE37" s="203">
        <v>3291.52</v>
      </c>
      <c r="AF37" s="21">
        <v>0.2</v>
      </c>
      <c r="AG37" s="203">
        <v>658.3</v>
      </c>
      <c r="AH37" s="203">
        <v>0.29881999999999997</v>
      </c>
    </row>
    <row r="38" spans="24:34" x14ac:dyDescent="0.25">
      <c r="X38" s="30" t="s">
        <v>34</v>
      </c>
      <c r="Y38" s="25" t="s">
        <v>112</v>
      </c>
      <c r="Z38" s="2" t="s">
        <v>36</v>
      </c>
      <c r="AA38" s="2">
        <v>2167</v>
      </c>
      <c r="AB38" s="203">
        <v>0.58459000000000005</v>
      </c>
      <c r="AC38" s="203">
        <v>1266.81</v>
      </c>
      <c r="AD38" s="203">
        <v>49.34</v>
      </c>
      <c r="AE38" s="203">
        <v>1266.81</v>
      </c>
      <c r="AF38" s="21">
        <v>0.2</v>
      </c>
      <c r="AG38" s="203">
        <v>253.36</v>
      </c>
      <c r="AH38" s="203">
        <v>0.44491000000000003</v>
      </c>
    </row>
    <row r="39" spans="24:34" x14ac:dyDescent="0.25">
      <c r="X39" s="30" t="s">
        <v>77</v>
      </c>
      <c r="Y39" s="25" t="s">
        <v>112</v>
      </c>
      <c r="Z39" s="2" t="s">
        <v>36</v>
      </c>
      <c r="AA39" s="20">
        <v>2415</v>
      </c>
      <c r="AB39" s="203">
        <v>0.58460000000000001</v>
      </c>
      <c r="AC39" s="203">
        <v>1411.8</v>
      </c>
      <c r="AD39" s="203">
        <v>54.99</v>
      </c>
      <c r="AE39" s="203">
        <v>1411.8</v>
      </c>
      <c r="AF39" s="21">
        <v>0.2</v>
      </c>
      <c r="AG39" s="203">
        <v>282.36</v>
      </c>
      <c r="AH39" s="203">
        <v>0.44491000000000003</v>
      </c>
    </row>
    <row r="40" spans="24:34" x14ac:dyDescent="0.25">
      <c r="X40" s="30" t="s">
        <v>116</v>
      </c>
      <c r="Y40" s="25" t="s">
        <v>112</v>
      </c>
      <c r="Z40" s="2" t="s">
        <v>36</v>
      </c>
      <c r="AA40" s="20">
        <v>8383</v>
      </c>
      <c r="AB40" s="203">
        <v>0.58460999999999996</v>
      </c>
      <c r="AC40" s="203">
        <v>4900.75</v>
      </c>
      <c r="AD40" s="203">
        <v>190.92</v>
      </c>
      <c r="AE40" s="203">
        <v>4900.75</v>
      </c>
      <c r="AF40" s="21">
        <v>0.2</v>
      </c>
      <c r="AG40" s="203">
        <v>980.15</v>
      </c>
      <c r="AH40" s="203">
        <v>0.44491000000000003</v>
      </c>
    </row>
    <row r="41" spans="24:34" x14ac:dyDescent="0.25">
      <c r="X41" s="30" t="s">
        <v>34</v>
      </c>
      <c r="Y41" s="26" t="s">
        <v>113</v>
      </c>
      <c r="Z41" s="2" t="s">
        <v>36</v>
      </c>
      <c r="AA41" s="2">
        <v>2041</v>
      </c>
      <c r="AB41" s="203">
        <v>-0.39263999999999999</v>
      </c>
      <c r="AC41" s="203">
        <v>-801.73</v>
      </c>
      <c r="AD41" s="203">
        <v>-31.23</v>
      </c>
      <c r="AE41" s="203">
        <v>-801.73</v>
      </c>
      <c r="AF41" s="21">
        <v>0.2</v>
      </c>
      <c r="AG41" s="203">
        <v>-160.34</v>
      </c>
      <c r="AH41" s="203">
        <v>0.29881999999999997</v>
      </c>
    </row>
    <row r="42" spans="24:34" x14ac:dyDescent="0.25">
      <c r="X42" s="30" t="s">
        <v>77</v>
      </c>
      <c r="Y42" s="26" t="s">
        <v>113</v>
      </c>
      <c r="Z42" s="2" t="s">
        <v>36</v>
      </c>
      <c r="AA42" s="20">
        <v>2315</v>
      </c>
      <c r="AB42" s="203">
        <v>-0.39262999999999998</v>
      </c>
      <c r="AC42" s="203">
        <v>-908.95</v>
      </c>
      <c r="AD42" s="203">
        <v>-35.4</v>
      </c>
      <c r="AE42" s="203">
        <v>-908.95</v>
      </c>
      <c r="AF42" s="21">
        <v>0.2</v>
      </c>
      <c r="AG42" s="203">
        <v>-181.79</v>
      </c>
      <c r="AH42" s="203">
        <v>0.29881999999999997</v>
      </c>
    </row>
    <row r="43" spans="24:34" x14ac:dyDescent="0.25">
      <c r="X43" s="30" t="s">
        <v>116</v>
      </c>
      <c r="Y43" s="26" t="s">
        <v>113</v>
      </c>
      <c r="Z43" s="2" t="s">
        <v>36</v>
      </c>
      <c r="AA43" s="20">
        <v>6806</v>
      </c>
      <c r="AB43" s="203">
        <v>-0.39265</v>
      </c>
      <c r="AC43" s="203">
        <v>-2672.5</v>
      </c>
      <c r="AD43" s="203">
        <v>-104.12</v>
      </c>
      <c r="AE43" s="203">
        <v>-2672.5</v>
      </c>
      <c r="AF43" s="21">
        <v>0.2</v>
      </c>
      <c r="AG43" s="203">
        <v>-534.5</v>
      </c>
      <c r="AH43" s="203">
        <v>0.29881999999999997</v>
      </c>
    </row>
    <row r="44" spans="24:34" x14ac:dyDescent="0.25">
      <c r="X44" s="30" t="s">
        <v>34</v>
      </c>
      <c r="Y44" s="27" t="s">
        <v>114</v>
      </c>
      <c r="Z44" s="2" t="s">
        <v>36</v>
      </c>
      <c r="AA44" s="2">
        <v>2041</v>
      </c>
      <c r="AB44" s="203">
        <v>-0.46768999999999999</v>
      </c>
      <c r="AC44" s="203">
        <v>-954.98</v>
      </c>
      <c r="AD44" s="203">
        <v>-46.51</v>
      </c>
      <c r="AE44" s="203">
        <v>0</v>
      </c>
      <c r="AF44" s="21">
        <v>0</v>
      </c>
      <c r="AG44" s="203">
        <v>0</v>
      </c>
      <c r="AH44" s="203">
        <v>0.44491000000000003</v>
      </c>
    </row>
    <row r="45" spans="24:34" x14ac:dyDescent="0.25">
      <c r="X45" s="30" t="s">
        <v>77</v>
      </c>
      <c r="Y45" s="27" t="s">
        <v>114</v>
      </c>
      <c r="Z45" s="2" t="s">
        <v>36</v>
      </c>
      <c r="AA45" s="20">
        <v>2315</v>
      </c>
      <c r="AB45" s="203">
        <v>-0.46767999999999998</v>
      </c>
      <c r="AC45" s="203">
        <v>-1082.69</v>
      </c>
      <c r="AD45" s="203">
        <v>-52.73</v>
      </c>
      <c r="AE45" s="203">
        <v>0</v>
      </c>
      <c r="AF45" s="21">
        <v>0</v>
      </c>
      <c r="AG45" s="203">
        <v>0</v>
      </c>
      <c r="AH45" s="203">
        <v>0.44491000000000003</v>
      </c>
    </row>
    <row r="46" spans="24:34" x14ac:dyDescent="0.25">
      <c r="X46" s="30" t="s">
        <v>116</v>
      </c>
      <c r="Y46" s="27" t="s">
        <v>114</v>
      </c>
      <c r="Z46" s="2" t="s">
        <v>36</v>
      </c>
      <c r="AA46" s="20">
        <v>6806</v>
      </c>
      <c r="AB46" s="203">
        <v>-0.46767999999999998</v>
      </c>
      <c r="AC46" s="203">
        <v>-3183.25</v>
      </c>
      <c r="AD46" s="203">
        <v>-155.02000000000001</v>
      </c>
      <c r="AE46" s="203">
        <v>0</v>
      </c>
      <c r="AF46" s="21">
        <v>0</v>
      </c>
      <c r="AG46" s="203">
        <v>0</v>
      </c>
      <c r="AH46" s="203">
        <v>0.44491000000000003</v>
      </c>
    </row>
    <row r="53" spans="25:35" x14ac:dyDescent="0.25">
      <c r="Y53" s="24" t="s">
        <v>111</v>
      </c>
      <c r="Z53" s="2" t="s">
        <v>36</v>
      </c>
      <c r="AA53" s="17">
        <f>AA35+AA36+AA37</f>
        <v>12965</v>
      </c>
      <c r="AB53" s="203">
        <v>0.39263999999999999</v>
      </c>
      <c r="AC53" s="176">
        <f>AA53*AB53</f>
        <v>5090.5775999999996</v>
      </c>
      <c r="AH53" s="203">
        <v>0.29881999999999997</v>
      </c>
      <c r="AI53" s="176">
        <f>AB53-AH53</f>
        <v>9.3820000000000014E-2</v>
      </c>
    </row>
    <row r="54" spans="25:35" x14ac:dyDescent="0.25">
      <c r="Y54" s="25" t="s">
        <v>112</v>
      </c>
      <c r="Z54" s="2" t="s">
        <v>36</v>
      </c>
      <c r="AA54" s="17">
        <f>AA38+AA39+AA40</f>
        <v>12965</v>
      </c>
      <c r="AB54" s="203">
        <v>0.58459000000000005</v>
      </c>
      <c r="AC54" s="176">
        <f>AA54*AB54</f>
        <v>7579.209350000001</v>
      </c>
      <c r="AH54" s="203">
        <v>0.44491000000000003</v>
      </c>
      <c r="AI54" s="176">
        <f>AB54-AH54</f>
        <v>0.13968000000000003</v>
      </c>
    </row>
    <row r="55" spans="25:35" x14ac:dyDescent="0.25">
      <c r="Y55" s="26" t="s">
        <v>113</v>
      </c>
      <c r="Z55" s="2" t="s">
        <v>36</v>
      </c>
      <c r="AA55" s="17">
        <f>AA41+AA42+AA43</f>
        <v>11162</v>
      </c>
      <c r="AB55" s="203">
        <v>-0.39263999999999999</v>
      </c>
      <c r="AC55" s="176">
        <f>AA55*AB55</f>
        <v>-4382.64768</v>
      </c>
      <c r="AH55" s="203">
        <v>0.29881999999999997</v>
      </c>
      <c r="AI55" s="176"/>
    </row>
    <row r="56" spans="25:35" x14ac:dyDescent="0.25">
      <c r="Y56" s="27" t="s">
        <v>114</v>
      </c>
      <c r="Z56" s="2" t="s">
        <v>36</v>
      </c>
      <c r="AA56" s="17">
        <f>AA44+AA45+AA46</f>
        <v>11162</v>
      </c>
      <c r="AB56" s="203">
        <v>-0.46768999999999999</v>
      </c>
      <c r="AC56" s="176">
        <f>AA56*AB56</f>
        <v>-5220.3557799999999</v>
      </c>
      <c r="AH56" s="203">
        <v>0.44491000000000003</v>
      </c>
      <c r="AI56" s="176"/>
    </row>
    <row r="59" spans="25:35" x14ac:dyDescent="0.25">
      <c r="AA59" s="17">
        <f>AA55-AA54</f>
        <v>-1803</v>
      </c>
    </row>
    <row r="64" spans="25:35" x14ac:dyDescent="0.25">
      <c r="Y64" t="s">
        <v>118</v>
      </c>
      <c r="AB64" s="28">
        <v>0.2</v>
      </c>
    </row>
    <row r="65" spans="25:32" x14ac:dyDescent="0.25">
      <c r="Y65" s="24" t="s">
        <v>111</v>
      </c>
      <c r="Z65" s="2" t="s">
        <v>36</v>
      </c>
      <c r="AA65" s="17">
        <v>12965</v>
      </c>
      <c r="AB65" s="203">
        <f>AB53*(1-AB64)</f>
        <v>0.314112</v>
      </c>
      <c r="AC65" s="176">
        <f>AA65*AB65</f>
        <v>4072.4620800000002</v>
      </c>
      <c r="AD65" s="176">
        <f>AI53</f>
        <v>9.3820000000000014E-2</v>
      </c>
      <c r="AE65" s="176">
        <f>AA65*AD65</f>
        <v>1216.3763000000001</v>
      </c>
    </row>
    <row r="66" spans="25:32" ht="15" customHeight="1" thickBot="1" x14ac:dyDescent="0.3">
      <c r="Y66" s="25" t="s">
        <v>112</v>
      </c>
      <c r="Z66" s="2" t="s">
        <v>36</v>
      </c>
      <c r="AA66" s="17">
        <v>12965</v>
      </c>
      <c r="AB66" s="203">
        <f>AB54*(1-AB65)</f>
        <v>0.40096326592000009</v>
      </c>
      <c r="AC66" s="205">
        <f>AA66*AB66</f>
        <v>5198.4887426528012</v>
      </c>
      <c r="AD66" s="176">
        <f>AI54</f>
        <v>0.13968000000000003</v>
      </c>
      <c r="AE66" s="206">
        <f>AA66*AD66</f>
        <v>1810.9512000000004</v>
      </c>
    </row>
    <row r="67" spans="25:32" x14ac:dyDescent="0.25">
      <c r="AC67" s="176">
        <f>AC65+AC66</f>
        <v>9270.9508226528014</v>
      </c>
      <c r="AE67" s="176">
        <f>AE65+AE66</f>
        <v>3027.3275000000003</v>
      </c>
    </row>
    <row r="68" spans="25:32" x14ac:dyDescent="0.25">
      <c r="Y68" s="23" t="s">
        <v>38</v>
      </c>
      <c r="AC68" s="176">
        <f>AC10+AC20+AC30</f>
        <v>440.54999999999995</v>
      </c>
    </row>
    <row r="69" spans="25:32" x14ac:dyDescent="0.25">
      <c r="AC69" s="176">
        <f>AC67+AC68</f>
        <v>9711.5008226528007</v>
      </c>
    </row>
    <row r="73" spans="25:32" x14ac:dyDescent="0.25">
      <c r="AA73" t="s">
        <v>119</v>
      </c>
      <c r="AB73" s="203">
        <v>0.29881999999999997</v>
      </c>
    </row>
    <row r="74" spans="25:32" x14ac:dyDescent="0.25">
      <c r="AA74" t="s">
        <v>120</v>
      </c>
      <c r="AB74" s="203">
        <v>0.44491000000000003</v>
      </c>
    </row>
    <row r="75" spans="25:32" x14ac:dyDescent="0.25">
      <c r="Y75" t="s">
        <v>118</v>
      </c>
      <c r="AB75" s="28">
        <v>0.2</v>
      </c>
      <c r="AD75" t="s">
        <v>121</v>
      </c>
    </row>
    <row r="76" spans="25:32" x14ac:dyDescent="0.25">
      <c r="Y76" s="24" t="s">
        <v>111</v>
      </c>
      <c r="Z76" s="2" t="s">
        <v>36</v>
      </c>
      <c r="AA76" s="19">
        <v>12965</v>
      </c>
      <c r="AB76" s="203">
        <f>AB73*(1-AB75)</f>
        <v>0.23905599999999999</v>
      </c>
      <c r="AC76" s="207">
        <f>AA76*AB76</f>
        <v>3099.3610399999998</v>
      </c>
      <c r="AD76" s="203">
        <f>AI53</f>
        <v>9.3820000000000014E-2</v>
      </c>
      <c r="AE76" s="207">
        <f>AA76*AD76</f>
        <v>1216.3763000000001</v>
      </c>
      <c r="AF76" s="207">
        <f>AC76+AE76</f>
        <v>4315.7373399999997</v>
      </c>
    </row>
    <row r="77" spans="25:32" ht="15" customHeight="1" thickBot="1" x14ac:dyDescent="0.3">
      <c r="Y77" s="25" t="s">
        <v>112</v>
      </c>
      <c r="Z77" s="2" t="s">
        <v>36</v>
      </c>
      <c r="AA77" s="19">
        <v>12965</v>
      </c>
      <c r="AB77" s="203">
        <f>AB74*(1-AB75)</f>
        <v>0.35592800000000002</v>
      </c>
      <c r="AC77" s="208">
        <f>AA77*AB77</f>
        <v>4614.6065200000003</v>
      </c>
      <c r="AD77" s="203">
        <f>AI54</f>
        <v>0.13968000000000003</v>
      </c>
      <c r="AE77" s="208">
        <f>AA77*AD77</f>
        <v>1810.9512000000004</v>
      </c>
      <c r="AF77" s="208">
        <f>AC77+AE77</f>
        <v>6425.5577200000007</v>
      </c>
    </row>
    <row r="78" spans="25:32" x14ac:dyDescent="0.25">
      <c r="Y78" t="s">
        <v>122</v>
      </c>
      <c r="AC78" s="176">
        <f>AC76+AC77</f>
        <v>7713.96756</v>
      </c>
      <c r="AE78" s="176">
        <f>AE76+AE77</f>
        <v>3027.3275000000003</v>
      </c>
      <c r="AF78" s="176">
        <f>AF76+AF77</f>
        <v>10741.29506</v>
      </c>
    </row>
    <row r="79" spans="25:32" x14ac:dyDescent="0.25">
      <c r="Y79" s="23" t="s">
        <v>38</v>
      </c>
      <c r="AF79" s="176">
        <f>AC68</f>
        <v>440.54999999999995</v>
      </c>
    </row>
    <row r="80" spans="25:32" x14ac:dyDescent="0.25">
      <c r="AF80" s="176">
        <f>AF78+AF79</f>
        <v>11181.84506</v>
      </c>
    </row>
  </sheetData>
  <autoFilter ref="X34:AH46">
    <sortState ref="X35:AH46">
      <sortCondition ref="Y34:Y46"/>
    </sortState>
  </autoFilter>
  <conditionalFormatting sqref="O6">
    <cfRule type="cellIs" dxfId="32" priority="57" operator="equal">
      <formula>0</formula>
    </cfRule>
    <cfRule type="cellIs" dxfId="31" priority="58" operator="lessThan">
      <formula>0</formula>
    </cfRule>
    <cfRule type="cellIs" dxfId="30" priority="59" operator="greaterThan">
      <formula>0</formula>
    </cfRule>
  </conditionalFormatting>
  <conditionalFormatting sqref="O11">
    <cfRule type="cellIs" dxfId="29" priority="54" operator="equal">
      <formula>0</formula>
    </cfRule>
    <cfRule type="cellIs" dxfId="28" priority="55" operator="lessThan">
      <formula>0</formula>
    </cfRule>
    <cfRule type="cellIs" dxfId="27" priority="56" operator="greaterThan">
      <formula>0</formula>
    </cfRule>
  </conditionalFormatting>
  <conditionalFormatting sqref="O18">
    <cfRule type="cellIs" dxfId="26" priority="51" operator="equal">
      <formula>0</formula>
    </cfRule>
    <cfRule type="cellIs" dxfId="25" priority="52" operator="lessThan">
      <formula>0</formula>
    </cfRule>
    <cfRule type="cellIs" dxfId="24" priority="53" operator="greaterThan">
      <formula>0</formula>
    </cfRule>
  </conditionalFormatting>
  <conditionalFormatting sqref="AB53:AB56">
    <cfRule type="cellIs" dxfId="23" priority="31" operator="equal">
      <formula>0</formula>
    </cfRule>
    <cfRule type="cellIs" dxfId="22" priority="32" operator="lessThan">
      <formula>0</formula>
    </cfRule>
    <cfRule type="cellIs" dxfId="21" priority="33" operator="greaterThan">
      <formula>0</formula>
    </cfRule>
  </conditionalFormatting>
  <conditionalFormatting sqref="AB65:AB66">
    <cfRule type="cellIs" dxfId="20" priority="16" operator="equal">
      <formula>0</formula>
    </cfRule>
    <cfRule type="cellIs" dxfId="19" priority="17" operator="lessThan">
      <formula>0</formula>
    </cfRule>
    <cfRule type="cellIs" dxfId="18" priority="18" operator="greaterThan">
      <formula>0</formula>
    </cfRule>
  </conditionalFormatting>
  <conditionalFormatting sqref="AB73:AB74">
    <cfRule type="cellIs" dxfId="17" priority="7" operator="equal">
      <formula>0</formula>
    </cfRule>
    <cfRule type="cellIs" dxfId="16" priority="8" operator="lessThan">
      <formula>0</formula>
    </cfRule>
    <cfRule type="cellIs" dxfId="15" priority="9" operator="greaterThan">
      <formula>0</formula>
    </cfRule>
  </conditionalFormatting>
  <conditionalFormatting sqref="AB76:AB77">
    <cfRule type="cellIs" dxfId="14" priority="4" operator="equal">
      <formula>0</formula>
    </cfRule>
    <cfRule type="cellIs" dxfId="13" priority="5" operator="lessThan">
      <formula>0</formula>
    </cfRule>
    <cfRule type="cellIs" dxfId="12" priority="6" operator="greaterThan">
      <formula>0</formula>
    </cfRule>
  </conditionalFormatting>
  <conditionalFormatting sqref="AB35:AE46">
    <cfRule type="cellIs" dxfId="11" priority="46" operator="equal">
      <formula>0</formula>
    </cfRule>
    <cfRule type="cellIs" dxfId="10" priority="49" operator="lessThan">
      <formula>0</formula>
    </cfRule>
    <cfRule type="cellIs" dxfId="9" priority="50" operator="greaterThan">
      <formula>0</formula>
    </cfRule>
  </conditionalFormatting>
  <conditionalFormatting sqref="AD76:AD77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conditionalFormatting sqref="AG35:AH46">
    <cfRule type="cellIs" dxfId="5" priority="43" operator="equal">
      <formula>0</formula>
    </cfRule>
    <cfRule type="cellIs" dxfId="4" priority="44" operator="lessThan">
      <formula>0</formula>
    </cfRule>
    <cfRule type="cellIs" dxfId="3" priority="45" operator="greaterThan">
      <formula>0</formula>
    </cfRule>
  </conditionalFormatting>
  <conditionalFormatting sqref="AH53:AH56">
    <cfRule type="cellIs" dxfId="2" priority="19" operator="equal">
      <formula>0</formula>
    </cfRule>
    <cfRule type="cellIs" dxfId="1" priority="20" operator="lessThan">
      <formula>0</formula>
    </cfRule>
    <cfRule type="cellIs" dxfId="0" priority="2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9"/>
  <sheetViews>
    <sheetView topLeftCell="A7" workbookViewId="0">
      <selection activeCell="H30" sqref="H30"/>
    </sheetView>
  </sheetViews>
  <sheetFormatPr defaultRowHeight="15" x14ac:dyDescent="0.25"/>
  <cols>
    <col min="3" max="3" width="39.42578125" style="150" bestFit="1" customWidth="1"/>
    <col min="4" max="5" width="13.7109375" style="150" bestFit="1" customWidth="1"/>
    <col min="6" max="6" width="11.7109375" style="150" customWidth="1"/>
    <col min="7" max="7" width="12.140625" style="150" bestFit="1" customWidth="1"/>
    <col min="8" max="8" width="12.5703125" style="150" bestFit="1" customWidth="1"/>
    <col min="9" max="9" width="10.42578125" style="150" bestFit="1" customWidth="1"/>
    <col min="10" max="10" width="12.140625" style="150" bestFit="1" customWidth="1"/>
    <col min="11" max="11" width="11.140625" style="150" bestFit="1" customWidth="1"/>
    <col min="13" max="13" width="8.42578125" style="150" bestFit="1" customWidth="1"/>
    <col min="14" max="14" width="8.28515625" style="150" bestFit="1" customWidth="1"/>
    <col min="15" max="15" width="14.28515625" style="150" bestFit="1" customWidth="1"/>
  </cols>
  <sheetData>
    <row r="3" spans="3:16" x14ac:dyDescent="0.25">
      <c r="C3" s="166"/>
    </row>
    <row r="4" spans="3:16" x14ac:dyDescent="0.25">
      <c r="C4" s="166"/>
      <c r="M4" s="166"/>
      <c r="N4" s="166"/>
      <c r="O4" s="166"/>
    </row>
    <row r="5" spans="3:16" x14ac:dyDescent="0.25">
      <c r="C5" s="166" t="s">
        <v>123</v>
      </c>
      <c r="D5" t="s">
        <v>124</v>
      </c>
      <c r="E5" t="s">
        <v>125</v>
      </c>
      <c r="F5" t="s">
        <v>126</v>
      </c>
      <c r="G5" s="204" t="s">
        <v>127</v>
      </c>
      <c r="H5" s="209" t="s">
        <v>29</v>
      </c>
      <c r="I5" s="28" t="s">
        <v>128</v>
      </c>
      <c r="J5" s="176" t="s">
        <v>32</v>
      </c>
      <c r="K5" t="s">
        <v>129</v>
      </c>
      <c r="M5" s="166" t="s">
        <v>100</v>
      </c>
      <c r="N5" s="166" t="s">
        <v>115</v>
      </c>
      <c r="O5" s="166" t="s">
        <v>117</v>
      </c>
    </row>
    <row r="6" spans="3:16" x14ac:dyDescent="0.25">
      <c r="C6" s="166" t="s">
        <v>43</v>
      </c>
      <c r="D6" t="s">
        <v>36</v>
      </c>
      <c r="E6">
        <v>11162</v>
      </c>
      <c r="F6">
        <v>0.39263999999999999</v>
      </c>
      <c r="G6" s="204">
        <v>4382.64768</v>
      </c>
      <c r="H6" s="209">
        <v>170.72165772672</v>
      </c>
      <c r="I6" s="28">
        <v>0.2</v>
      </c>
      <c r="J6" s="176">
        <v>876.52953600000001</v>
      </c>
      <c r="K6">
        <v>0.29881999999999997</v>
      </c>
      <c r="M6">
        <v>2041</v>
      </c>
      <c r="N6">
        <v>2315</v>
      </c>
      <c r="O6">
        <v>6806</v>
      </c>
    </row>
    <row r="7" spans="3:16" x14ac:dyDescent="0.25">
      <c r="C7" s="166" t="s">
        <v>44</v>
      </c>
      <c r="D7" t="s">
        <v>36</v>
      </c>
      <c r="E7">
        <v>11162</v>
      </c>
      <c r="F7">
        <v>0.58460999999999996</v>
      </c>
      <c r="G7" s="204">
        <v>6525.4168199999986</v>
      </c>
      <c r="H7" s="209">
        <v>254.19108680628</v>
      </c>
      <c r="I7" s="28">
        <v>0.2</v>
      </c>
      <c r="J7" s="176">
        <v>1305.0833640000001</v>
      </c>
      <c r="K7">
        <v>0.44491000000000003</v>
      </c>
    </row>
    <row r="8" spans="3:16" x14ac:dyDescent="0.25">
      <c r="C8" s="166" t="s">
        <v>45</v>
      </c>
      <c r="D8" t="s">
        <v>36</v>
      </c>
      <c r="E8">
        <v>11162</v>
      </c>
      <c r="F8">
        <v>-0.39265</v>
      </c>
      <c r="G8" s="204">
        <v>-4382.7592999999997</v>
      </c>
      <c r="H8" s="209">
        <v>-170.72600577220001</v>
      </c>
      <c r="I8" s="28">
        <v>0.2</v>
      </c>
      <c r="J8">
        <v>-876.55186000000003</v>
      </c>
      <c r="K8">
        <v>0.29881999999999997</v>
      </c>
    </row>
    <row r="9" spans="3:16" x14ac:dyDescent="0.25">
      <c r="C9" s="166" t="s">
        <v>46</v>
      </c>
      <c r="D9" t="s">
        <v>36</v>
      </c>
      <c r="E9">
        <v>11162</v>
      </c>
      <c r="F9">
        <v>-0.46767999999999998</v>
      </c>
      <c r="G9" s="176">
        <v>-5220.2441600000002</v>
      </c>
      <c r="H9" s="209">
        <v>-203.34939100864</v>
      </c>
      <c r="I9">
        <v>0</v>
      </c>
      <c r="K9">
        <v>0.44491000000000003</v>
      </c>
    </row>
    <row r="10" spans="3:16" x14ac:dyDescent="0.25">
      <c r="C10" s="166"/>
      <c r="F10">
        <v>0.11692</v>
      </c>
      <c r="G10">
        <v>1305.061040000001</v>
      </c>
    </row>
    <row r="11" spans="3:16" x14ac:dyDescent="0.25">
      <c r="C11" s="166"/>
    </row>
    <row r="12" spans="3:16" x14ac:dyDescent="0.25">
      <c r="C12" s="7" t="s">
        <v>123</v>
      </c>
      <c r="D12" s="7" t="s">
        <v>124</v>
      </c>
      <c r="E12" s="7" t="s">
        <v>125</v>
      </c>
      <c r="F12" s="7" t="s">
        <v>126</v>
      </c>
      <c r="G12" s="202" t="s">
        <v>127</v>
      </c>
      <c r="H12" s="210" t="s">
        <v>29</v>
      </c>
      <c r="I12" s="32" t="s">
        <v>128</v>
      </c>
      <c r="J12" s="211" t="s">
        <v>32</v>
      </c>
      <c r="K12" s="7" t="s">
        <v>129</v>
      </c>
    </row>
    <row r="13" spans="3:16" x14ac:dyDescent="0.25">
      <c r="C13" s="23" t="s">
        <v>43</v>
      </c>
      <c r="D13" s="2" t="s">
        <v>36</v>
      </c>
      <c r="E13" s="2">
        <v>11162</v>
      </c>
      <c r="F13" s="2">
        <v>0.39263999999999999</v>
      </c>
      <c r="G13" s="203">
        <f>E13*F13</f>
        <v>4382.64768</v>
      </c>
      <c r="H13" s="212">
        <v>170.72165772672</v>
      </c>
      <c r="I13" s="31">
        <v>0.2</v>
      </c>
      <c r="J13" s="213">
        <v>876.52953600000001</v>
      </c>
      <c r="K13" s="2">
        <v>0.29881999999999997</v>
      </c>
      <c r="L13" s="311">
        <f>K13+K14</f>
        <v>0.74373</v>
      </c>
      <c r="M13" s="310">
        <f>F13+F14</f>
        <v>0.97724999999999995</v>
      </c>
      <c r="N13">
        <f>M13-L13</f>
        <v>0.23351999999999995</v>
      </c>
      <c r="O13" s="214">
        <f>H13+J13</f>
        <v>1047.25119372672</v>
      </c>
      <c r="P13">
        <f>E13*F13</f>
        <v>4382.64768</v>
      </c>
    </row>
    <row r="14" spans="3:16" x14ac:dyDescent="0.25">
      <c r="C14" s="23" t="s">
        <v>44</v>
      </c>
      <c r="D14" s="2" t="s">
        <v>36</v>
      </c>
      <c r="E14" s="2">
        <v>11162</v>
      </c>
      <c r="F14" s="2">
        <v>0.58460999999999996</v>
      </c>
      <c r="G14" s="203">
        <f>E14*F14</f>
        <v>6525.4168199999995</v>
      </c>
      <c r="H14" s="212">
        <v>254.19108680628</v>
      </c>
      <c r="I14" s="31">
        <v>0.2</v>
      </c>
      <c r="J14" s="213">
        <v>1305.0833640000001</v>
      </c>
      <c r="K14" s="2">
        <v>0.44491000000000003</v>
      </c>
      <c r="L14" s="312"/>
      <c r="M14" s="235"/>
      <c r="O14" s="214">
        <f>H14+J14</f>
        <v>1559.2744508062801</v>
      </c>
    </row>
    <row r="15" spans="3:16" x14ac:dyDescent="0.25">
      <c r="C15" s="23" t="s">
        <v>45</v>
      </c>
      <c r="D15" s="2" t="s">
        <v>36</v>
      </c>
      <c r="E15" s="2">
        <v>11162</v>
      </c>
      <c r="F15" s="2">
        <v>-0.39265</v>
      </c>
      <c r="G15" s="203">
        <f>E15*F15</f>
        <v>-4382.7592999999997</v>
      </c>
      <c r="H15" s="212">
        <v>-170.72600577220001</v>
      </c>
      <c r="I15" s="31">
        <v>0.2</v>
      </c>
      <c r="J15" s="2">
        <v>-876.55186000000003</v>
      </c>
      <c r="K15" s="2">
        <v>0.29881999999999997</v>
      </c>
      <c r="O15" s="214">
        <f>H15+J15</f>
        <v>-1047.2778657722001</v>
      </c>
    </row>
    <row r="16" spans="3:16" x14ac:dyDescent="0.25">
      <c r="C16" s="23" t="s">
        <v>46</v>
      </c>
      <c r="D16" s="2" t="s">
        <v>36</v>
      </c>
      <c r="E16" s="2">
        <v>11162</v>
      </c>
      <c r="F16" s="2">
        <v>-0.46767999999999998</v>
      </c>
      <c r="G16" s="203">
        <f>E16*F16</f>
        <v>-5220.2441600000002</v>
      </c>
      <c r="H16" s="212">
        <v>-203.34939100864</v>
      </c>
      <c r="I16" s="2">
        <v>0</v>
      </c>
      <c r="J16" s="2"/>
      <c r="K16" s="2">
        <v>0.44491000000000003</v>
      </c>
    </row>
    <row r="17" spans="3:11" x14ac:dyDescent="0.25">
      <c r="C17" s="2"/>
      <c r="D17" s="2"/>
      <c r="E17" s="2"/>
      <c r="F17" s="2">
        <v>0.11692</v>
      </c>
      <c r="G17" s="203">
        <v>1305.06104</v>
      </c>
      <c r="H17" s="212"/>
      <c r="I17" s="31"/>
      <c r="J17" s="213"/>
      <c r="K17" s="2"/>
    </row>
    <row r="20" spans="3:11" x14ac:dyDescent="0.25">
      <c r="C20" s="2" t="s">
        <v>36</v>
      </c>
      <c r="J20" s="176">
        <f>G13*0.2</f>
        <v>876.52953600000001</v>
      </c>
    </row>
    <row r="21" spans="3:11" x14ac:dyDescent="0.25">
      <c r="C21" s="35">
        <v>11162</v>
      </c>
      <c r="D21" s="38">
        <f>L13</f>
        <v>0.74373</v>
      </c>
      <c r="E21" s="39">
        <f>D21*0.8</f>
        <v>0.59498400000000007</v>
      </c>
      <c r="F21" s="28">
        <f>1-(E21/D21)</f>
        <v>0.19999999999999996</v>
      </c>
      <c r="H21" s="176"/>
    </row>
    <row r="22" spans="3:11" x14ac:dyDescent="0.25">
      <c r="C22" s="37"/>
      <c r="D22" s="215" t="s">
        <v>130</v>
      </c>
      <c r="E22" s="216" t="s">
        <v>131</v>
      </c>
      <c r="H22" s="176"/>
    </row>
    <row r="23" spans="3:11" x14ac:dyDescent="0.25">
      <c r="C23" s="35"/>
      <c r="D23" s="217">
        <f>$C$21*D21</f>
        <v>8301.5142599999999</v>
      </c>
      <c r="E23" s="218">
        <f>$C$21*E21</f>
        <v>6641.211408000001</v>
      </c>
      <c r="G23" s="176"/>
    </row>
    <row r="24" spans="3:11" x14ac:dyDescent="0.25">
      <c r="C24" s="35" t="s">
        <v>32</v>
      </c>
      <c r="D24" s="219">
        <f>J13+J14</f>
        <v>2181.6129000000001</v>
      </c>
      <c r="E24" s="218">
        <f>D24</f>
        <v>2181.6129000000001</v>
      </c>
      <c r="G24" s="176"/>
    </row>
    <row r="25" spans="3:11" x14ac:dyDescent="0.25">
      <c r="C25" s="35" t="s">
        <v>132</v>
      </c>
      <c r="D25" s="219">
        <v>146.85</v>
      </c>
      <c r="E25" s="218">
        <v>146.85</v>
      </c>
    </row>
    <row r="26" spans="3:11" x14ac:dyDescent="0.25">
      <c r="C26" s="35" t="s">
        <v>133</v>
      </c>
      <c r="D26" s="219">
        <v>146.85</v>
      </c>
      <c r="E26" s="218">
        <v>146.85</v>
      </c>
    </row>
    <row r="27" spans="3:11" x14ac:dyDescent="0.25">
      <c r="C27" s="35" t="s">
        <v>134</v>
      </c>
      <c r="D27" s="219">
        <v>146.85</v>
      </c>
      <c r="E27" s="218">
        <v>146.85</v>
      </c>
    </row>
    <row r="28" spans="3:11" x14ac:dyDescent="0.25">
      <c r="C28" s="36" t="s">
        <v>135</v>
      </c>
      <c r="D28" s="220">
        <f>($F$13+$F$14)*F28</f>
        <v>122.23442999999999</v>
      </c>
      <c r="E28" s="221">
        <f>D28</f>
        <v>122.23442999999999</v>
      </c>
      <c r="F28">
        <v>125.08</v>
      </c>
    </row>
    <row r="29" spans="3:11" x14ac:dyDescent="0.25">
      <c r="C29" s="35" t="s">
        <v>136</v>
      </c>
      <c r="D29" s="219">
        <f>($F$13+$F$14)*F29</f>
        <v>97.724999999999994</v>
      </c>
      <c r="E29" s="221">
        <f>D29</f>
        <v>97.724999999999994</v>
      </c>
      <c r="F29">
        <v>100</v>
      </c>
    </row>
    <row r="30" spans="3:11" x14ac:dyDescent="0.25">
      <c r="C30" s="35" t="s">
        <v>137</v>
      </c>
      <c r="D30" s="219">
        <f>($F$13+$F$14)*F30</f>
        <v>1540.7323499999998</v>
      </c>
      <c r="E30" s="221">
        <f>D30</f>
        <v>1540.7323499999998</v>
      </c>
      <c r="F30">
        <v>1576.6</v>
      </c>
    </row>
    <row r="31" spans="3:11" ht="15.6" customHeight="1" x14ac:dyDescent="0.25">
      <c r="C31" s="40" t="s">
        <v>29</v>
      </c>
      <c r="D31" s="222">
        <f>H13+H14</f>
        <v>424.91274453300002</v>
      </c>
      <c r="E31" s="223">
        <f>(H15+H16)*-1</f>
        <v>374.07539678084004</v>
      </c>
    </row>
    <row r="32" spans="3:11" x14ac:dyDescent="0.25">
      <c r="C32" s="35" t="s">
        <v>138</v>
      </c>
      <c r="D32" s="224">
        <f>SUM(D23:D31)</f>
        <v>13109.281684533002</v>
      </c>
      <c r="E32" s="225">
        <f>SUM(E23:E31)</f>
        <v>11398.141484780843</v>
      </c>
    </row>
    <row r="33" spans="3:6" x14ac:dyDescent="0.25">
      <c r="C33" s="166"/>
    </row>
    <row r="34" spans="3:6" x14ac:dyDescent="0.25">
      <c r="C34" s="166"/>
      <c r="E34" s="33"/>
      <c r="F34" s="34"/>
    </row>
    <row r="35" spans="3:6" x14ac:dyDescent="0.25">
      <c r="D35" s="166" t="s">
        <v>139</v>
      </c>
    </row>
    <row r="36" spans="3:6" x14ac:dyDescent="0.25">
      <c r="D36" s="166" t="s">
        <v>100</v>
      </c>
      <c r="E36" s="226">
        <v>507.8</v>
      </c>
    </row>
    <row r="37" spans="3:6" x14ac:dyDescent="0.25">
      <c r="D37" s="166" t="s">
        <v>115</v>
      </c>
      <c r="E37" s="226">
        <v>515.23</v>
      </c>
    </row>
    <row r="38" spans="3:6" x14ac:dyDescent="0.25">
      <c r="D38" s="166" t="s">
        <v>117</v>
      </c>
      <c r="E38" s="227">
        <v>2483.37</v>
      </c>
    </row>
    <row r="39" spans="3:6" x14ac:dyDescent="0.25">
      <c r="E39" s="226">
        <f>E36+E37+E38</f>
        <v>3506.3999999999996</v>
      </c>
      <c r="F39" t="s">
        <v>68</v>
      </c>
    </row>
    <row r="41" spans="3:6" x14ac:dyDescent="0.25">
      <c r="C41" s="166"/>
      <c r="E41" s="176">
        <f>E32-E39</f>
        <v>7891.7414847808432</v>
      </c>
      <c r="F41" t="s">
        <v>69</v>
      </c>
    </row>
    <row r="47" spans="3:6" x14ac:dyDescent="0.25">
      <c r="C47" s="166" t="s">
        <v>140</v>
      </c>
      <c r="D47" s="228">
        <f>D32-E32</f>
        <v>1711.1401997521589</v>
      </c>
    </row>
    <row r="48" spans="3:6" x14ac:dyDescent="0.25">
      <c r="C48" s="166" t="s">
        <v>141</v>
      </c>
      <c r="D48" s="28">
        <f>1-(E32/D32)</f>
        <v>0.13052890623069369</v>
      </c>
    </row>
    <row r="49" spans="3:4" x14ac:dyDescent="0.25">
      <c r="C49" s="166" t="s">
        <v>142</v>
      </c>
      <c r="D49" s="28">
        <f>F21</f>
        <v>0.19999999999999996</v>
      </c>
    </row>
  </sheetData>
  <mergeCells count="2">
    <mergeCell ref="M13:M14"/>
    <mergeCell ref="L13:L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FATURA EDITAVEL</vt:lpstr>
      <vt:lpstr>dados</vt:lpstr>
      <vt:lpstr>Planilha3</vt:lpstr>
      <vt:lpstr>Planilha6</vt:lpstr>
      <vt:lpstr>'FATURA EDITAVEL'!Area_de_impressao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Tercio STG</dc:creator>
  <cp:lastModifiedBy>LOHAN</cp:lastModifiedBy>
  <dcterms:created xsi:type="dcterms:W3CDTF">2022-12-21T12:55:57Z</dcterms:created>
  <dcterms:modified xsi:type="dcterms:W3CDTF">2024-07-02T00:40:17Z</dcterms:modified>
</cp:coreProperties>
</file>