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03E06CAE-897A-4204-858A-EBF9B82BE8DE}" xr6:coauthVersionLast="45" xr6:coauthVersionMax="45" xr10:uidLastSave="{00000000-0000-0000-0000-000000000000}"/>
  <bookViews>
    <workbookView xWindow="-120" yWindow="-120" windowWidth="20730" windowHeight="11160" firstSheet="3" activeTab="6" xr2:uid="{00000000-000D-0000-FFFF-FFFF00000000}"/>
  </bookViews>
  <sheets>
    <sheet name="Niveaux" sheetId="1" r:id="rId1"/>
    <sheet name="Races" sheetId="4" r:id="rId2"/>
    <sheet name="Sous-races" sheetId="9" r:id="rId3"/>
    <sheet name="Classes" sheetId="5" r:id="rId4"/>
    <sheet name="Capacities" sheetId="19" r:id="rId5"/>
    <sheet name="Specialisation-capacities" sheetId="28" r:id="rId6"/>
    <sheet name="Compétences" sheetId="29" r:id="rId7"/>
    <sheet name="Compétences de race" sheetId="30" r:id="rId8"/>
    <sheet name="Historiques" sheetId="18" r:id="rId9"/>
    <sheet name="Armes" sheetId="6" r:id="rId10"/>
    <sheet name="Armures" sheetId="10" r:id="rId11"/>
    <sheet name="Montures" sheetId="13" r:id="rId12"/>
    <sheet name="Bâteaux" sheetId="14" r:id="rId13"/>
    <sheet name="Objets" sheetId="11" r:id="rId14"/>
    <sheet name="Babioles" sheetId="17" r:id="rId15"/>
    <sheet name="Services" sheetId="16" r:id="rId16"/>
    <sheet name="Equipements" sheetId="12" r:id="rId17"/>
    <sheet name="Sorts" sheetId="21" r:id="rId18"/>
    <sheet name="Compléments de sort" sheetId="34" r:id="rId19"/>
    <sheet name="Alignements" sheetId="22" r:id="rId20"/>
    <sheet name="Langues" sheetId="23" r:id="rId21"/>
    <sheet name="Altérations" sheetId="24" r:id="rId22"/>
    <sheet name="Types de monstres" sheetId="35" r:id="rId23"/>
    <sheet name="Monstres" sheetId="32" r:id="rId24"/>
    <sheet name="Export global" sheetId="20"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51" i="29" l="1"/>
  <c r="I452" i="29"/>
  <c r="I448" i="29"/>
  <c r="I447" i="29"/>
  <c r="I446" i="29"/>
  <c r="I445" i="29"/>
  <c r="I444" i="29"/>
  <c r="I443" i="29"/>
  <c r="I21" i="29"/>
  <c r="I22" i="29"/>
  <c r="I23" i="29"/>
  <c r="I24" i="29"/>
  <c r="I25" i="29"/>
  <c r="I26" i="29"/>
  <c r="I27" i="29"/>
  <c r="I28" i="29"/>
  <c r="I29" i="29"/>
  <c r="I30" i="29"/>
  <c r="I31" i="29"/>
  <c r="I32" i="29"/>
  <c r="I33" i="29"/>
  <c r="I34" i="29"/>
  <c r="I35" i="29"/>
  <c r="I36" i="29"/>
  <c r="I37" i="29"/>
  <c r="I38" i="29"/>
  <c r="I39" i="29"/>
  <c r="I40" i="29"/>
  <c r="I41" i="29"/>
  <c r="I42" i="29"/>
  <c r="I43" i="29"/>
  <c r="I44" i="29"/>
  <c r="I45" i="29"/>
  <c r="I46" i="29"/>
  <c r="I47" i="29"/>
  <c r="I48" i="29"/>
  <c r="I49" i="29"/>
  <c r="I50" i="29"/>
  <c r="I51" i="29"/>
  <c r="I52" i="29"/>
  <c r="I53" i="29"/>
  <c r="I54" i="29"/>
  <c r="I55" i="29"/>
  <c r="I56" i="29"/>
  <c r="I57" i="29"/>
  <c r="I58" i="29"/>
  <c r="I59" i="29"/>
  <c r="I60" i="29"/>
  <c r="I61" i="29"/>
  <c r="I62" i="29"/>
  <c r="I63" i="29"/>
  <c r="I64" i="29"/>
  <c r="I65" i="29"/>
  <c r="I66" i="29"/>
  <c r="I67" i="29"/>
  <c r="I68" i="29"/>
  <c r="I69" i="29"/>
  <c r="I70" i="29"/>
  <c r="I71" i="29"/>
  <c r="I72" i="29"/>
  <c r="I73" i="29"/>
  <c r="I74" i="29"/>
  <c r="I75" i="29"/>
  <c r="I76" i="29"/>
  <c r="I77" i="29"/>
  <c r="I78" i="29"/>
  <c r="I79" i="29"/>
  <c r="I80" i="29"/>
  <c r="I81" i="29"/>
  <c r="I82" i="29"/>
  <c r="I83" i="29"/>
  <c r="I84" i="29"/>
  <c r="I85" i="29"/>
  <c r="I86" i="29"/>
  <c r="I87" i="29"/>
  <c r="I88" i="29"/>
  <c r="I89" i="29"/>
  <c r="I90" i="29"/>
  <c r="I91" i="29"/>
  <c r="I92" i="29"/>
  <c r="I93" i="29"/>
  <c r="I94" i="29"/>
  <c r="I95" i="29"/>
  <c r="I96" i="29"/>
  <c r="I97" i="29"/>
  <c r="I98" i="29"/>
  <c r="I99" i="29"/>
  <c r="I100" i="29"/>
  <c r="I101" i="29"/>
  <c r="I102" i="29"/>
  <c r="I103" i="29"/>
  <c r="I104" i="29"/>
  <c r="I105" i="29"/>
  <c r="I106" i="29"/>
  <c r="I107" i="29"/>
  <c r="I108" i="29"/>
  <c r="I109" i="29"/>
  <c r="I110" i="29"/>
  <c r="I111" i="29"/>
  <c r="I112" i="29"/>
  <c r="I113" i="29"/>
  <c r="I114" i="29"/>
  <c r="I115" i="29"/>
  <c r="I116" i="29"/>
  <c r="I117" i="29"/>
  <c r="I118" i="29"/>
  <c r="I119" i="29"/>
  <c r="I120" i="29"/>
  <c r="I121" i="29"/>
  <c r="I122" i="29"/>
  <c r="I123" i="29"/>
  <c r="I124" i="29"/>
  <c r="I125" i="29"/>
  <c r="I126" i="29"/>
  <c r="I127" i="29"/>
  <c r="I128" i="29"/>
  <c r="I129" i="29"/>
  <c r="I130" i="29"/>
  <c r="I131" i="29"/>
  <c r="I132" i="29"/>
  <c r="I133" i="29"/>
  <c r="I134" i="29"/>
  <c r="I135" i="29"/>
  <c r="I136" i="29"/>
  <c r="I137" i="29"/>
  <c r="I138" i="29"/>
  <c r="I139" i="29"/>
  <c r="I140" i="29"/>
  <c r="I141" i="29"/>
  <c r="I142" i="29"/>
  <c r="I143" i="29"/>
  <c r="I144" i="29"/>
  <c r="I145" i="29"/>
  <c r="I146" i="29"/>
  <c r="I147" i="29"/>
  <c r="I148" i="29"/>
  <c r="I149" i="29"/>
  <c r="I150" i="29"/>
  <c r="I151" i="29"/>
  <c r="I152" i="29"/>
  <c r="I153" i="29"/>
  <c r="I154" i="29"/>
  <c r="I155" i="29"/>
  <c r="I156" i="29"/>
  <c r="I157" i="29"/>
  <c r="I158" i="29"/>
  <c r="I159" i="29"/>
  <c r="I160" i="29"/>
  <c r="I161" i="29"/>
  <c r="I162" i="29"/>
  <c r="I163" i="29"/>
  <c r="I164" i="29"/>
  <c r="I165" i="29"/>
  <c r="I166" i="29"/>
  <c r="I167" i="29"/>
  <c r="I168" i="29"/>
  <c r="I169" i="29"/>
  <c r="I170" i="29"/>
  <c r="I171" i="29"/>
  <c r="I172" i="29"/>
  <c r="I173" i="29"/>
  <c r="I174" i="29"/>
  <c r="I175" i="29"/>
  <c r="I176" i="29"/>
  <c r="I177" i="29"/>
  <c r="I178" i="29"/>
  <c r="I179" i="29"/>
  <c r="I180" i="29"/>
  <c r="I181" i="29"/>
  <c r="I182" i="29"/>
  <c r="I183" i="29"/>
  <c r="I184" i="29"/>
  <c r="I185" i="29"/>
  <c r="I186" i="29"/>
  <c r="I187" i="29"/>
  <c r="I188" i="29"/>
  <c r="I189" i="29"/>
  <c r="I190" i="29"/>
  <c r="I191" i="29"/>
  <c r="I192" i="29"/>
  <c r="I193" i="29"/>
  <c r="I194" i="29"/>
  <c r="I195" i="29"/>
  <c r="I196" i="29"/>
  <c r="I197" i="29"/>
  <c r="I198" i="29"/>
  <c r="I199" i="29"/>
  <c r="I200" i="29"/>
  <c r="I201" i="29"/>
  <c r="I202" i="29"/>
  <c r="I203" i="29"/>
  <c r="I204" i="29"/>
  <c r="I205" i="29"/>
  <c r="I206" i="29"/>
  <c r="I207" i="29"/>
  <c r="I208" i="29"/>
  <c r="I209" i="29"/>
  <c r="I210" i="29"/>
  <c r="I211" i="29"/>
  <c r="I212" i="29"/>
  <c r="I213" i="29"/>
  <c r="I214" i="29"/>
  <c r="I215" i="29"/>
  <c r="I216" i="29"/>
  <c r="I217" i="29"/>
  <c r="I218" i="29"/>
  <c r="I219" i="29"/>
  <c r="I220" i="29"/>
  <c r="I221" i="29"/>
  <c r="I222" i="29"/>
  <c r="I223" i="29"/>
  <c r="I224" i="29"/>
  <c r="I225" i="29"/>
  <c r="I226" i="29"/>
  <c r="I227" i="29"/>
  <c r="I228" i="29"/>
  <c r="I229" i="29"/>
  <c r="I230" i="29"/>
  <c r="I231" i="29"/>
  <c r="I232" i="29"/>
  <c r="I233" i="29"/>
  <c r="I234" i="29"/>
  <c r="I235" i="29"/>
  <c r="I236" i="29"/>
  <c r="I237" i="29"/>
  <c r="I238" i="29"/>
  <c r="I239" i="29"/>
  <c r="I240" i="29"/>
  <c r="I241" i="29"/>
  <c r="I242" i="29"/>
  <c r="I243" i="29"/>
  <c r="I244" i="29"/>
  <c r="I245" i="29"/>
  <c r="I246" i="29"/>
  <c r="I247" i="29"/>
  <c r="I248" i="29"/>
  <c r="I249" i="29"/>
  <c r="I250" i="29"/>
  <c r="I251" i="29"/>
  <c r="I252" i="29"/>
  <c r="I253" i="29"/>
  <c r="I254" i="29"/>
  <c r="I255" i="29"/>
  <c r="I256" i="29"/>
  <c r="I257" i="29"/>
  <c r="I258" i="29"/>
  <c r="I259" i="29"/>
  <c r="I260" i="29"/>
  <c r="I261" i="29"/>
  <c r="I262" i="29"/>
  <c r="I263" i="29"/>
  <c r="I264" i="29"/>
  <c r="I265" i="29"/>
  <c r="I266" i="29"/>
  <c r="I267" i="29"/>
  <c r="I268" i="29"/>
  <c r="I269" i="29"/>
  <c r="I270" i="29"/>
  <c r="I271" i="29"/>
  <c r="I272" i="29"/>
  <c r="I273" i="29"/>
  <c r="I274" i="29"/>
  <c r="I275" i="29"/>
  <c r="I276" i="29"/>
  <c r="I277" i="29"/>
  <c r="I278" i="29"/>
  <c r="I279" i="29"/>
  <c r="I280" i="29"/>
  <c r="I281" i="29"/>
  <c r="I282" i="29"/>
  <c r="I283" i="29"/>
  <c r="I284" i="29"/>
  <c r="I285" i="29"/>
  <c r="I286" i="29"/>
  <c r="I287" i="29"/>
  <c r="I288" i="29"/>
  <c r="I289" i="29"/>
  <c r="I290" i="29"/>
  <c r="I449" i="29" s="1"/>
  <c r="I291" i="29"/>
  <c r="I292" i="29"/>
  <c r="I293" i="29"/>
  <c r="I294" i="29"/>
  <c r="I295" i="29"/>
  <c r="I296" i="29"/>
  <c r="I297" i="29"/>
  <c r="I298" i="29"/>
  <c r="I299" i="29"/>
  <c r="I300" i="29"/>
  <c r="I301" i="29"/>
  <c r="I302" i="29"/>
  <c r="I303" i="29"/>
  <c r="I304" i="29"/>
  <c r="I305" i="29"/>
  <c r="I306" i="29"/>
  <c r="I307" i="29"/>
  <c r="I308" i="29"/>
  <c r="I309" i="29"/>
  <c r="I310" i="29"/>
  <c r="I311" i="29"/>
  <c r="I312" i="29"/>
  <c r="I313" i="29"/>
  <c r="I314" i="29"/>
  <c r="I315" i="29"/>
  <c r="I316" i="29"/>
  <c r="I317" i="29"/>
  <c r="I318" i="29"/>
  <c r="I319" i="29"/>
  <c r="I320" i="29"/>
  <c r="I321" i="29"/>
  <c r="I322" i="29"/>
  <c r="I323" i="29"/>
  <c r="I324" i="29"/>
  <c r="I325" i="29"/>
  <c r="I326" i="29"/>
  <c r="I327" i="29"/>
  <c r="I328" i="29"/>
  <c r="I329" i="29"/>
  <c r="I330" i="29"/>
  <c r="I331" i="29"/>
  <c r="I332" i="29"/>
  <c r="I333" i="29"/>
  <c r="I334" i="29"/>
  <c r="I335" i="29"/>
  <c r="I336" i="29"/>
  <c r="I337" i="29"/>
  <c r="I338" i="29"/>
  <c r="I339" i="29"/>
  <c r="I340" i="29"/>
  <c r="I341" i="29"/>
  <c r="I342" i="29"/>
  <c r="I343" i="29"/>
  <c r="I344" i="29"/>
  <c r="I345" i="29"/>
  <c r="I346" i="29"/>
  <c r="I347" i="29"/>
  <c r="I348" i="29"/>
  <c r="I349" i="29"/>
  <c r="I350" i="29"/>
  <c r="I351" i="29"/>
  <c r="I352" i="29"/>
  <c r="I353" i="29"/>
  <c r="I354" i="29"/>
  <c r="I355" i="29"/>
  <c r="I356" i="29"/>
  <c r="I357" i="29"/>
  <c r="I358" i="29"/>
  <c r="I359" i="29"/>
  <c r="I360" i="29"/>
  <c r="I361" i="29"/>
  <c r="I362" i="29"/>
  <c r="I450" i="29" s="1"/>
  <c r="I363" i="29"/>
  <c r="I364" i="29"/>
  <c r="I365" i="29"/>
  <c r="I366" i="29"/>
  <c r="I367" i="29"/>
  <c r="I368" i="29"/>
  <c r="I369" i="29"/>
  <c r="I370" i="29"/>
  <c r="I371" i="29"/>
  <c r="I372" i="29"/>
  <c r="I373" i="29"/>
  <c r="I374" i="29"/>
  <c r="I375" i="29"/>
  <c r="I376" i="29"/>
  <c r="I377" i="29"/>
  <c r="I378" i="29"/>
  <c r="I379" i="29"/>
  <c r="I380" i="29"/>
  <c r="I381" i="29"/>
  <c r="I382" i="29"/>
  <c r="I383" i="29"/>
  <c r="I384" i="29"/>
  <c r="I385" i="29"/>
  <c r="I386" i="29"/>
  <c r="I387" i="29"/>
  <c r="I388" i="29"/>
  <c r="I389" i="29"/>
  <c r="I390" i="29"/>
  <c r="I391" i="29"/>
  <c r="I392" i="29"/>
  <c r="I393" i="29"/>
  <c r="I394" i="29"/>
  <c r="I395" i="29"/>
  <c r="I396" i="29"/>
  <c r="I397" i="29"/>
  <c r="I398" i="29"/>
  <c r="I399" i="29"/>
  <c r="I400" i="29"/>
  <c r="I401" i="29"/>
  <c r="I402" i="29"/>
  <c r="I403" i="29"/>
  <c r="I404" i="29"/>
  <c r="I405" i="29"/>
  <c r="I406" i="29"/>
  <c r="I407" i="29"/>
  <c r="I408" i="29"/>
  <c r="I409" i="29"/>
  <c r="I410" i="29"/>
  <c r="I411" i="29"/>
  <c r="I412" i="29"/>
  <c r="I413" i="29"/>
  <c r="I414" i="29"/>
  <c r="I415" i="29"/>
  <c r="I416" i="29"/>
  <c r="I417" i="29"/>
  <c r="I418" i="29"/>
  <c r="I419" i="29"/>
  <c r="I420" i="29"/>
  <c r="I421" i="29"/>
  <c r="I422" i="29"/>
  <c r="I423" i="29"/>
  <c r="I424" i="29"/>
  <c r="I425" i="29"/>
  <c r="I426" i="29"/>
  <c r="I427" i="29"/>
  <c r="I428" i="29"/>
  <c r="I429" i="29"/>
  <c r="I430" i="29"/>
  <c r="I431" i="29"/>
  <c r="I432" i="29"/>
  <c r="I433" i="29"/>
  <c r="I434" i="29"/>
  <c r="I435" i="29"/>
  <c r="I436" i="29"/>
  <c r="I437" i="29"/>
  <c r="I438" i="29"/>
  <c r="I439" i="29"/>
  <c r="I440" i="29"/>
  <c r="I3" i="29"/>
  <c r="I4" i="29"/>
  <c r="I5" i="29"/>
  <c r="I6" i="29"/>
  <c r="I7" i="29"/>
  <c r="I8" i="29"/>
  <c r="I9" i="29"/>
  <c r="I10" i="29"/>
  <c r="I11" i="29"/>
  <c r="I12" i="29"/>
  <c r="I13" i="29"/>
  <c r="I14" i="29"/>
  <c r="I15" i="29"/>
  <c r="I16" i="29"/>
  <c r="I17" i="29"/>
  <c r="I18" i="29"/>
  <c r="I19" i="29"/>
  <c r="I20" i="29"/>
  <c r="I2" i="29"/>
  <c r="DS22" i="19"/>
  <c r="DS4" i="19"/>
  <c r="DS5" i="19"/>
  <c r="DS6" i="19"/>
  <c r="DS7" i="19"/>
  <c r="DS8" i="19"/>
  <c r="DS9" i="19"/>
  <c r="DS10" i="19"/>
  <c r="DS11" i="19"/>
  <c r="DS12" i="19"/>
  <c r="DS13" i="19"/>
  <c r="DS14" i="19"/>
  <c r="DS15" i="19"/>
  <c r="DS16" i="19"/>
  <c r="DS17" i="19"/>
  <c r="DS18" i="19"/>
  <c r="DS19" i="19"/>
  <c r="DS20" i="19"/>
  <c r="DS21" i="19"/>
  <c r="DS3" i="19"/>
  <c r="B59" i="28"/>
  <c r="B58" i="28"/>
  <c r="B57" i="28"/>
  <c r="I41" i="34"/>
  <c r="C54" i="28"/>
  <c r="D54" i="28"/>
  <c r="B56" i="28" s="1"/>
  <c r="E54" i="28"/>
  <c r="F54" i="28"/>
  <c r="G54" i="28"/>
  <c r="H54" i="28"/>
  <c r="I54" i="28"/>
  <c r="J54" i="28"/>
  <c r="K54" i="28"/>
  <c r="L54" i="28"/>
  <c r="M54" i="28"/>
  <c r="N54" i="28"/>
  <c r="O54" i="28"/>
  <c r="P54" i="28"/>
  <c r="Q54" i="28"/>
  <c r="R54" i="28"/>
  <c r="S54" i="28"/>
  <c r="T54" i="28"/>
  <c r="U54" i="28"/>
  <c r="B54" i="28"/>
  <c r="I72" i="5" l="1"/>
  <c r="L468" i="21"/>
  <c r="L467" i="21"/>
  <c r="L466" i="21"/>
  <c r="L465" i="21"/>
  <c r="L464" i="21"/>
  <c r="L463" i="21"/>
  <c r="I55" i="5"/>
  <c r="I56" i="5"/>
  <c r="I57" i="5"/>
  <c r="I51" i="5"/>
  <c r="I52" i="5"/>
  <c r="I71" i="5" s="1"/>
  <c r="I73" i="5" s="1"/>
  <c r="I53" i="5"/>
  <c r="I54" i="5"/>
  <c r="Z17" i="5"/>
  <c r="B32" i="19"/>
  <c r="Z11" i="5"/>
  <c r="I19" i="5"/>
  <c r="I20" i="5"/>
  <c r="I21" i="5"/>
  <c r="B33" i="19" l="1"/>
  <c r="L4" i="19" l="1"/>
  <c r="L5" i="19"/>
  <c r="L6" i="19"/>
  <c r="L7" i="19"/>
  <c r="L8" i="19"/>
  <c r="L9" i="19"/>
  <c r="L10" i="19"/>
  <c r="L11" i="19"/>
  <c r="L12" i="19"/>
  <c r="L13" i="19"/>
  <c r="L14" i="19"/>
  <c r="L15" i="19"/>
  <c r="L16" i="19"/>
  <c r="L17" i="19"/>
  <c r="L18" i="19"/>
  <c r="L19" i="19"/>
  <c r="L20" i="19"/>
  <c r="L21" i="19"/>
  <c r="L22" i="19"/>
  <c r="L3" i="19"/>
  <c r="Y22" i="19"/>
  <c r="Y21" i="19"/>
  <c r="Y20" i="19"/>
  <c r="Y19" i="19"/>
  <c r="Y18" i="19"/>
  <c r="Y17" i="19"/>
  <c r="Y16" i="19"/>
  <c r="Y15" i="19"/>
  <c r="Y14" i="19"/>
  <c r="Y13" i="19"/>
  <c r="Y12" i="19"/>
  <c r="Y11" i="19"/>
  <c r="Y10" i="19"/>
  <c r="Y9" i="19"/>
  <c r="Y8" i="19"/>
  <c r="Y7" i="19"/>
  <c r="Y6" i="19"/>
  <c r="Y5" i="19"/>
  <c r="Y4" i="19"/>
  <c r="Y3" i="19"/>
  <c r="Z2" i="5"/>
  <c r="Z3" i="5"/>
  <c r="B24" i="19" l="1"/>
  <c r="B39" i="19" s="1"/>
  <c r="I90" i="30"/>
  <c r="I91" i="30"/>
  <c r="I92" i="30"/>
  <c r="I93" i="30"/>
  <c r="I94" i="30"/>
  <c r="I95" i="30"/>
  <c r="I96" i="30"/>
  <c r="I97" i="30"/>
  <c r="I98" i="30"/>
  <c r="I99" i="30"/>
  <c r="I124" i="30"/>
  <c r="I125" i="30"/>
  <c r="I126" i="30"/>
  <c r="I127" i="30"/>
  <c r="I128" i="30"/>
  <c r="I121" i="30"/>
  <c r="I122" i="30"/>
  <c r="I123" i="30"/>
  <c r="I129" i="30"/>
  <c r="I130" i="30"/>
  <c r="I88" i="30"/>
  <c r="I89" i="30"/>
  <c r="I65" i="30"/>
  <c r="I66" i="30"/>
  <c r="I67" i="30"/>
  <c r="S3" i="9"/>
  <c r="S4" i="9"/>
  <c r="S5" i="9"/>
  <c r="S6" i="9"/>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52" i="9"/>
  <c r="S53" i="9"/>
  <c r="S54" i="9"/>
  <c r="S55" i="9"/>
  <c r="S56" i="9"/>
  <c r="S57" i="9"/>
  <c r="S58" i="9"/>
  <c r="S59" i="9"/>
  <c r="S2" i="9"/>
  <c r="S2" i="4"/>
  <c r="G23" i="23" l="1"/>
  <c r="I72" i="30"/>
  <c r="I71" i="30"/>
  <c r="I70" i="30"/>
  <c r="I69" i="30"/>
  <c r="I68" i="30"/>
  <c r="I64" i="30"/>
  <c r="I63" i="30"/>
  <c r="I62" i="30"/>
  <c r="I7" i="34"/>
  <c r="I6" i="34"/>
  <c r="I5" i="34"/>
  <c r="H51" i="35"/>
  <c r="C19" i="35"/>
  <c r="P831" i="32"/>
  <c r="P830" i="32"/>
  <c r="P828" i="32"/>
  <c r="P829" i="32"/>
  <c r="P827" i="32"/>
  <c r="P826" i="32"/>
  <c r="P825" i="32"/>
  <c r="P824" i="32"/>
  <c r="P823" i="32"/>
  <c r="I25" i="34"/>
  <c r="I24" i="34"/>
  <c r="I23" i="34"/>
  <c r="I28" i="34"/>
  <c r="I27" i="34"/>
  <c r="I26" i="34"/>
  <c r="I22" i="34"/>
  <c r="I21" i="34"/>
  <c r="I20" i="34"/>
  <c r="I19" i="34"/>
  <c r="I18" i="34"/>
  <c r="I17" i="34"/>
  <c r="I31" i="34"/>
  <c r="I30" i="34"/>
  <c r="I29" i="34"/>
  <c r="I13" i="34"/>
  <c r="I12" i="34"/>
  <c r="I11" i="34"/>
  <c r="I16" i="34"/>
  <c r="I15" i="34"/>
  <c r="I14" i="34"/>
  <c r="I8" i="34"/>
  <c r="I9" i="34"/>
  <c r="I10" i="34"/>
  <c r="P822" i="32" l="1"/>
  <c r="I23" i="30"/>
  <c r="I24" i="30"/>
  <c r="I25" i="30"/>
  <c r="I26" i="30"/>
  <c r="I27" i="30"/>
  <c r="I28" i="30"/>
  <c r="I40" i="34"/>
  <c r="G19" i="23"/>
  <c r="I120" i="30"/>
  <c r="I119" i="30"/>
  <c r="I118" i="30"/>
  <c r="S21" i="4"/>
  <c r="S4" i="4"/>
  <c r="S3" i="4"/>
  <c r="S5" i="4"/>
  <c r="S6" i="4"/>
  <c r="S7" i="4"/>
  <c r="S8" i="4"/>
  <c r="S9" i="4"/>
  <c r="S10" i="4"/>
  <c r="S11" i="4"/>
  <c r="S12" i="4"/>
  <c r="S13" i="4"/>
  <c r="S14" i="4"/>
  <c r="S15" i="4"/>
  <c r="S16" i="4"/>
  <c r="S17" i="4"/>
  <c r="S18" i="4"/>
  <c r="S19" i="4"/>
  <c r="S20" i="4"/>
  <c r="S22" i="4"/>
  <c r="S24" i="4" s="1"/>
  <c r="I117" i="30"/>
  <c r="I137" i="30" s="1"/>
  <c r="I116" i="30"/>
  <c r="I115" i="30"/>
  <c r="I114" i="30"/>
  <c r="I113" i="30"/>
  <c r="I106" i="30"/>
  <c r="I107" i="30"/>
  <c r="I108" i="30"/>
  <c r="I109" i="30"/>
  <c r="I110" i="30"/>
  <c r="I111" i="30"/>
  <c r="I112" i="30"/>
  <c r="I105" i="30"/>
  <c r="I104" i="30"/>
  <c r="S61" i="9" l="1"/>
  <c r="I78" i="30"/>
  <c r="I79" i="30"/>
  <c r="I80" i="30"/>
  <c r="I81" i="30"/>
  <c r="I82" i="30"/>
  <c r="I83" i="30"/>
  <c r="I84" i="30"/>
  <c r="I85" i="30"/>
  <c r="I86" i="30"/>
  <c r="I87" i="30"/>
  <c r="I100" i="30"/>
  <c r="I101" i="30"/>
  <c r="I102" i="30"/>
  <c r="I103" i="30"/>
  <c r="I22" i="5"/>
  <c r="H2" i="18"/>
  <c r="G18" i="23"/>
  <c r="N820" i="32"/>
  <c r="N819" i="32"/>
  <c r="N818" i="32"/>
  <c r="N817" i="32"/>
  <c r="N816" i="32"/>
  <c r="N815" i="32"/>
  <c r="N814" i="32"/>
  <c r="N813" i="32"/>
  <c r="N812" i="32"/>
  <c r="N811" i="32"/>
  <c r="N810" i="32"/>
  <c r="N809" i="32"/>
  <c r="N808" i="32"/>
  <c r="N807" i="32"/>
  <c r="N806" i="32"/>
  <c r="N805" i="32"/>
  <c r="N804" i="32"/>
  <c r="N803" i="32"/>
  <c r="N802" i="32"/>
  <c r="N801" i="32"/>
  <c r="N800" i="32"/>
  <c r="N799" i="32"/>
  <c r="N798" i="32"/>
  <c r="N797" i="32"/>
  <c r="N796" i="32"/>
  <c r="N795" i="32"/>
  <c r="N794" i="32"/>
  <c r="N793" i="32"/>
  <c r="N792" i="32"/>
  <c r="N791" i="32"/>
  <c r="N790" i="32"/>
  <c r="N789" i="32"/>
  <c r="N788" i="32"/>
  <c r="N787" i="32"/>
  <c r="N786" i="32"/>
  <c r="N785" i="32"/>
  <c r="N784" i="32"/>
  <c r="N783" i="32"/>
  <c r="N782" i="32"/>
  <c r="N781" i="32"/>
  <c r="N780" i="32"/>
  <c r="N779" i="32"/>
  <c r="N778" i="32"/>
  <c r="N777" i="32"/>
  <c r="N776" i="32"/>
  <c r="N775" i="32"/>
  <c r="N774" i="32"/>
  <c r="N773" i="32"/>
  <c r="N772" i="32"/>
  <c r="N771" i="32"/>
  <c r="N770" i="32"/>
  <c r="N769" i="32"/>
  <c r="N768" i="32"/>
  <c r="N767" i="32"/>
  <c r="N766" i="32"/>
  <c r="N765" i="32"/>
  <c r="N764" i="32"/>
  <c r="N763" i="32"/>
  <c r="N762" i="32"/>
  <c r="N761" i="32"/>
  <c r="N760" i="32"/>
  <c r="N759" i="32"/>
  <c r="N758" i="32"/>
  <c r="N757" i="32"/>
  <c r="N756" i="32"/>
  <c r="N755" i="32"/>
  <c r="N754" i="32"/>
  <c r="N753" i="32"/>
  <c r="N752" i="32"/>
  <c r="N751" i="32"/>
  <c r="N750" i="32"/>
  <c r="N749" i="32"/>
  <c r="N748" i="32"/>
  <c r="N747" i="32"/>
  <c r="N746" i="32"/>
  <c r="N745" i="32"/>
  <c r="N744" i="32"/>
  <c r="N743" i="32"/>
  <c r="N742" i="32"/>
  <c r="N741" i="32"/>
  <c r="N740" i="32"/>
  <c r="N739" i="32"/>
  <c r="N738" i="32"/>
  <c r="N737" i="32"/>
  <c r="N736" i="32"/>
  <c r="N735" i="32"/>
  <c r="N734" i="32"/>
  <c r="N733" i="32"/>
  <c r="N732" i="32"/>
  <c r="N731" i="32"/>
  <c r="N730" i="32"/>
  <c r="N729" i="32"/>
  <c r="N728" i="32"/>
  <c r="N727" i="32"/>
  <c r="N726" i="32"/>
  <c r="N725" i="32"/>
  <c r="N724" i="32"/>
  <c r="N723" i="32"/>
  <c r="N722" i="32"/>
  <c r="N721" i="32"/>
  <c r="N720" i="32"/>
  <c r="N719" i="32"/>
  <c r="N718" i="32"/>
  <c r="N717" i="32"/>
  <c r="N716" i="32"/>
  <c r="N715" i="32"/>
  <c r="N714" i="32"/>
  <c r="N713" i="32"/>
  <c r="N712" i="32"/>
  <c r="N711" i="32"/>
  <c r="N710" i="32"/>
  <c r="N709" i="32"/>
  <c r="N708" i="32"/>
  <c r="N707" i="32"/>
  <c r="N706" i="32"/>
  <c r="N705" i="32"/>
  <c r="N704" i="32"/>
  <c r="N703" i="32"/>
  <c r="N702" i="32"/>
  <c r="N701" i="32"/>
  <c r="N700" i="32"/>
  <c r="N699" i="32"/>
  <c r="N698" i="32"/>
  <c r="N697" i="32"/>
  <c r="N696" i="32"/>
  <c r="N695" i="32"/>
  <c r="N694" i="32"/>
  <c r="N693" i="32"/>
  <c r="N692" i="32"/>
  <c r="N691" i="32"/>
  <c r="N690" i="32"/>
  <c r="N689" i="32"/>
  <c r="N688" i="32"/>
  <c r="N687" i="32"/>
  <c r="N686" i="32"/>
  <c r="N685" i="32"/>
  <c r="N684" i="32"/>
  <c r="N683" i="32"/>
  <c r="N682" i="32"/>
  <c r="N681" i="32"/>
  <c r="N680" i="32"/>
  <c r="N679" i="32"/>
  <c r="N678" i="32"/>
  <c r="N677" i="32"/>
  <c r="N676" i="32"/>
  <c r="N675" i="32"/>
  <c r="N674" i="32"/>
  <c r="N673" i="32"/>
  <c r="N672" i="32"/>
  <c r="N671" i="32"/>
  <c r="N670" i="32"/>
  <c r="N669" i="32"/>
  <c r="N668" i="32"/>
  <c r="N667" i="32"/>
  <c r="N666" i="32"/>
  <c r="N665" i="32"/>
  <c r="N664" i="32"/>
  <c r="N663" i="32"/>
  <c r="N662" i="32"/>
  <c r="N661" i="32"/>
  <c r="N660" i="32"/>
  <c r="N659" i="32"/>
  <c r="N658" i="32"/>
  <c r="N657" i="32"/>
  <c r="N656" i="32"/>
  <c r="N655" i="32"/>
  <c r="N654" i="32"/>
  <c r="N653" i="32"/>
  <c r="N652" i="32"/>
  <c r="N651" i="32"/>
  <c r="N650" i="32"/>
  <c r="N649" i="32"/>
  <c r="N648" i="32"/>
  <c r="N647" i="32"/>
  <c r="N646" i="32"/>
  <c r="N645" i="32"/>
  <c r="N644" i="32"/>
  <c r="N643" i="32"/>
  <c r="N642" i="32"/>
  <c r="N641" i="32"/>
  <c r="N640" i="32"/>
  <c r="N639" i="32"/>
  <c r="N638" i="32"/>
  <c r="N637" i="32"/>
  <c r="N636" i="32"/>
  <c r="N635" i="32"/>
  <c r="N634" i="32"/>
  <c r="N633" i="32"/>
  <c r="N632" i="32"/>
  <c r="N631" i="32"/>
  <c r="N630" i="32"/>
  <c r="N629" i="32"/>
  <c r="N628" i="32"/>
  <c r="N627" i="32"/>
  <c r="N626" i="32"/>
  <c r="N625" i="32"/>
  <c r="N624" i="32"/>
  <c r="N623" i="32"/>
  <c r="N622" i="32"/>
  <c r="N621" i="32"/>
  <c r="N620" i="32"/>
  <c r="N619" i="32"/>
  <c r="N618" i="32"/>
  <c r="N617" i="32"/>
  <c r="N616" i="32"/>
  <c r="N615" i="32"/>
  <c r="N614" i="32"/>
  <c r="N613" i="32"/>
  <c r="N612" i="32"/>
  <c r="N611" i="32"/>
  <c r="N610" i="32"/>
  <c r="N609" i="32"/>
  <c r="N608" i="32"/>
  <c r="N607" i="32"/>
  <c r="N606" i="32"/>
  <c r="N605" i="32"/>
  <c r="N604" i="32"/>
  <c r="N603" i="32"/>
  <c r="N602" i="32"/>
  <c r="N601" i="32"/>
  <c r="N600" i="32"/>
  <c r="N599" i="32"/>
  <c r="N598" i="32"/>
  <c r="N597" i="32"/>
  <c r="N596" i="32"/>
  <c r="N595" i="32"/>
  <c r="N594" i="32"/>
  <c r="N593" i="32"/>
  <c r="N592" i="32"/>
  <c r="N591" i="32"/>
  <c r="N590" i="32"/>
  <c r="N589" i="32"/>
  <c r="N588" i="32"/>
  <c r="N587" i="32"/>
  <c r="N586" i="32"/>
  <c r="N585" i="32"/>
  <c r="N584" i="32"/>
  <c r="N583" i="32"/>
  <c r="N582" i="32"/>
  <c r="N581" i="32"/>
  <c r="N580" i="32"/>
  <c r="N579" i="32"/>
  <c r="N578" i="32"/>
  <c r="N577" i="32"/>
  <c r="N576" i="32"/>
  <c r="N575" i="32"/>
  <c r="N574" i="32"/>
  <c r="N573" i="32"/>
  <c r="N572" i="32"/>
  <c r="N571" i="32"/>
  <c r="N570" i="32"/>
  <c r="N569" i="32"/>
  <c r="N568" i="32"/>
  <c r="N567" i="32"/>
  <c r="N566" i="32"/>
  <c r="N565" i="32"/>
  <c r="N564" i="32"/>
  <c r="N563" i="32"/>
  <c r="N562" i="32"/>
  <c r="N561" i="32"/>
  <c r="N560" i="32"/>
  <c r="N559" i="32"/>
  <c r="N558" i="32"/>
  <c r="N557" i="32"/>
  <c r="N556" i="32"/>
  <c r="N555" i="32"/>
  <c r="N554" i="32"/>
  <c r="N553" i="32"/>
  <c r="N552" i="32"/>
  <c r="N551" i="32"/>
  <c r="N550" i="32"/>
  <c r="N549" i="32"/>
  <c r="N548" i="32"/>
  <c r="N547" i="32"/>
  <c r="N546" i="32"/>
  <c r="N545" i="32"/>
  <c r="N544" i="32"/>
  <c r="N543" i="32"/>
  <c r="N542" i="32"/>
  <c r="N541" i="32"/>
  <c r="N540" i="32"/>
  <c r="N539" i="32"/>
  <c r="N538" i="32"/>
  <c r="N537" i="32"/>
  <c r="N536" i="32"/>
  <c r="N535" i="32"/>
  <c r="N534" i="32"/>
  <c r="N533" i="32"/>
  <c r="N532" i="32"/>
  <c r="N531" i="32"/>
  <c r="N530" i="32"/>
  <c r="N529" i="32"/>
  <c r="N528" i="32"/>
  <c r="N527" i="32"/>
  <c r="N526" i="32"/>
  <c r="N525" i="32"/>
  <c r="N524" i="32"/>
  <c r="N523" i="32"/>
  <c r="N522" i="32"/>
  <c r="N521" i="32"/>
  <c r="N520" i="32"/>
  <c r="N519" i="32"/>
  <c r="N518" i="32"/>
  <c r="N517" i="32"/>
  <c r="N516" i="32"/>
  <c r="N515" i="32"/>
  <c r="N514" i="32"/>
  <c r="N513" i="32"/>
  <c r="N512" i="32"/>
  <c r="N511" i="32"/>
  <c r="N510" i="32"/>
  <c r="N509" i="32"/>
  <c r="N508" i="32"/>
  <c r="N507" i="32"/>
  <c r="N506" i="32"/>
  <c r="N505" i="32"/>
  <c r="N504" i="32"/>
  <c r="N503" i="32"/>
  <c r="N502" i="32"/>
  <c r="N501" i="32"/>
  <c r="N500" i="32"/>
  <c r="N499" i="32"/>
  <c r="N498" i="32"/>
  <c r="N497" i="32"/>
  <c r="N496" i="32"/>
  <c r="N495" i="32"/>
  <c r="N494" i="32"/>
  <c r="N493" i="32"/>
  <c r="N492" i="32"/>
  <c r="N491" i="32"/>
  <c r="N490" i="32"/>
  <c r="N489" i="32"/>
  <c r="N488" i="32"/>
  <c r="N487" i="32"/>
  <c r="N486" i="32"/>
  <c r="N485" i="32"/>
  <c r="N484" i="32"/>
  <c r="N483" i="32"/>
  <c r="N482" i="32"/>
  <c r="N481" i="32"/>
  <c r="N480" i="32"/>
  <c r="N479" i="32"/>
  <c r="N478" i="32"/>
  <c r="N477" i="32"/>
  <c r="N476" i="32"/>
  <c r="N475" i="32"/>
  <c r="N474" i="32"/>
  <c r="N473" i="32"/>
  <c r="N472" i="32"/>
  <c r="N471" i="32"/>
  <c r="N470" i="32"/>
  <c r="N469" i="32"/>
  <c r="N468" i="32"/>
  <c r="N467" i="32"/>
  <c r="N466" i="32"/>
  <c r="N465" i="32"/>
  <c r="N464" i="32"/>
  <c r="N463" i="32"/>
  <c r="N462" i="32"/>
  <c r="N461" i="32"/>
  <c r="N460" i="32"/>
  <c r="N459" i="32"/>
  <c r="N458" i="32"/>
  <c r="N457" i="32"/>
  <c r="N456" i="32"/>
  <c r="N455" i="32"/>
  <c r="N454" i="32"/>
  <c r="N453" i="32"/>
  <c r="N452" i="32"/>
  <c r="N451" i="32"/>
  <c r="N450" i="32"/>
  <c r="N449" i="32"/>
  <c r="N448" i="32"/>
  <c r="N447" i="32"/>
  <c r="N446" i="32"/>
  <c r="N445" i="32"/>
  <c r="N444" i="32"/>
  <c r="N443" i="32"/>
  <c r="N442" i="32"/>
  <c r="N441" i="32"/>
  <c r="N440" i="32"/>
  <c r="N439" i="32"/>
  <c r="N438" i="32"/>
  <c r="N437" i="32"/>
  <c r="N436" i="32"/>
  <c r="N435" i="32"/>
  <c r="N434" i="32"/>
  <c r="N433" i="32"/>
  <c r="N432" i="32"/>
  <c r="N431" i="32"/>
  <c r="N430" i="32"/>
  <c r="N429" i="32"/>
  <c r="N428" i="32"/>
  <c r="N427" i="32"/>
  <c r="N426" i="32"/>
  <c r="N425" i="32"/>
  <c r="N424" i="32"/>
  <c r="N423" i="32"/>
  <c r="N422" i="32"/>
  <c r="N421" i="32"/>
  <c r="N420" i="32"/>
  <c r="N419" i="32"/>
  <c r="N418" i="32"/>
  <c r="N417" i="32"/>
  <c r="N416" i="32"/>
  <c r="N415" i="32"/>
  <c r="N414" i="32"/>
  <c r="N413" i="32"/>
  <c r="N412" i="32"/>
  <c r="N411" i="32"/>
  <c r="N410" i="32"/>
  <c r="N409" i="32"/>
  <c r="N408" i="32"/>
  <c r="N407" i="32"/>
  <c r="N406" i="32"/>
  <c r="N405" i="32"/>
  <c r="N404" i="32"/>
  <c r="N403" i="32"/>
  <c r="N402" i="32"/>
  <c r="N401" i="32"/>
  <c r="N400" i="32"/>
  <c r="N399" i="32"/>
  <c r="N398" i="32"/>
  <c r="N397" i="32"/>
  <c r="N396" i="32"/>
  <c r="N395" i="32"/>
  <c r="N394" i="32"/>
  <c r="N393" i="32"/>
  <c r="N392" i="32"/>
  <c r="N391" i="32"/>
  <c r="N390" i="32"/>
  <c r="N389" i="32"/>
  <c r="N388" i="32"/>
  <c r="N387" i="32"/>
  <c r="N386" i="32"/>
  <c r="N385" i="32"/>
  <c r="N384" i="32"/>
  <c r="N383" i="32"/>
  <c r="N382" i="32"/>
  <c r="N381" i="32"/>
  <c r="N380" i="32"/>
  <c r="N379" i="32"/>
  <c r="N378" i="32"/>
  <c r="N377" i="32"/>
  <c r="N376" i="32"/>
  <c r="N375" i="32"/>
  <c r="N374" i="32"/>
  <c r="N373" i="32"/>
  <c r="N372" i="32"/>
  <c r="N371" i="32"/>
  <c r="N370" i="32"/>
  <c r="N369" i="32"/>
  <c r="N368" i="32"/>
  <c r="N367" i="32"/>
  <c r="N366" i="32"/>
  <c r="N365" i="32"/>
  <c r="N364" i="32"/>
  <c r="N363" i="32"/>
  <c r="N362" i="32"/>
  <c r="N361" i="32"/>
  <c r="N360" i="32"/>
  <c r="N359" i="32"/>
  <c r="N358" i="32"/>
  <c r="N357" i="32"/>
  <c r="N356" i="32"/>
  <c r="N355" i="32"/>
  <c r="N354" i="32"/>
  <c r="N353" i="32"/>
  <c r="N352" i="32"/>
  <c r="N351" i="32"/>
  <c r="N350" i="32"/>
  <c r="N349" i="32"/>
  <c r="N348" i="32"/>
  <c r="N347" i="32"/>
  <c r="N346" i="32"/>
  <c r="N345" i="32"/>
  <c r="N344" i="32"/>
  <c r="N343" i="32"/>
  <c r="N342" i="32"/>
  <c r="N341" i="32"/>
  <c r="N340" i="32"/>
  <c r="N339" i="32"/>
  <c r="N338" i="32"/>
  <c r="N337" i="32"/>
  <c r="N336" i="32"/>
  <c r="N335" i="32"/>
  <c r="N334" i="32"/>
  <c r="N333" i="32"/>
  <c r="N332" i="32"/>
  <c r="N331" i="32"/>
  <c r="N330" i="32"/>
  <c r="N329" i="32"/>
  <c r="N328" i="32"/>
  <c r="N327" i="32"/>
  <c r="N326" i="32"/>
  <c r="N325" i="32"/>
  <c r="N324" i="32"/>
  <c r="N323" i="32"/>
  <c r="N322" i="32"/>
  <c r="N321" i="32"/>
  <c r="N320" i="32"/>
  <c r="N319" i="32"/>
  <c r="N318" i="32"/>
  <c r="N317" i="32"/>
  <c r="N316" i="32"/>
  <c r="N315" i="32"/>
  <c r="N314" i="32"/>
  <c r="N313" i="32"/>
  <c r="N312" i="32"/>
  <c r="N311" i="32"/>
  <c r="N310" i="32"/>
  <c r="N309" i="32"/>
  <c r="N308" i="32"/>
  <c r="N307" i="32"/>
  <c r="N306" i="32"/>
  <c r="N305" i="32"/>
  <c r="N304" i="32"/>
  <c r="N303" i="32"/>
  <c r="N302" i="32"/>
  <c r="N301" i="32"/>
  <c r="N300" i="32"/>
  <c r="N299" i="32"/>
  <c r="N298" i="32"/>
  <c r="N297" i="32"/>
  <c r="N296" i="32"/>
  <c r="N295" i="32"/>
  <c r="N294" i="32"/>
  <c r="N293" i="32"/>
  <c r="N292" i="32"/>
  <c r="N291" i="32"/>
  <c r="N290" i="32"/>
  <c r="N289" i="32"/>
  <c r="N288" i="32"/>
  <c r="N287" i="32"/>
  <c r="N286" i="32"/>
  <c r="N285" i="32"/>
  <c r="N284" i="32"/>
  <c r="N283" i="32"/>
  <c r="N282" i="32"/>
  <c r="N281" i="32"/>
  <c r="N280" i="32"/>
  <c r="N279" i="32"/>
  <c r="N278" i="32"/>
  <c r="N277" i="32"/>
  <c r="N276" i="32"/>
  <c r="N275" i="32"/>
  <c r="N274" i="32"/>
  <c r="N273" i="32"/>
  <c r="N272" i="32"/>
  <c r="N271" i="32"/>
  <c r="N270" i="32"/>
  <c r="N269" i="32"/>
  <c r="N268" i="32"/>
  <c r="N267" i="32"/>
  <c r="N266" i="32"/>
  <c r="N265" i="32"/>
  <c r="N264" i="32"/>
  <c r="N263" i="32"/>
  <c r="N262" i="32"/>
  <c r="N261" i="32"/>
  <c r="N260" i="32"/>
  <c r="N259" i="32"/>
  <c r="N258" i="32"/>
  <c r="N257" i="32"/>
  <c r="N256" i="32"/>
  <c r="N255" i="32"/>
  <c r="N254" i="32"/>
  <c r="N253" i="32"/>
  <c r="N252" i="32"/>
  <c r="N251" i="32"/>
  <c r="N250" i="32"/>
  <c r="N249" i="32"/>
  <c r="N248" i="32"/>
  <c r="N247" i="32"/>
  <c r="N246" i="32"/>
  <c r="N245" i="32"/>
  <c r="N244" i="32"/>
  <c r="N243" i="32"/>
  <c r="N242" i="32"/>
  <c r="N241" i="32"/>
  <c r="N240" i="32"/>
  <c r="N239" i="32"/>
  <c r="N238" i="32"/>
  <c r="N237" i="32"/>
  <c r="N236" i="32"/>
  <c r="N235" i="32"/>
  <c r="N234" i="32"/>
  <c r="N233" i="32"/>
  <c r="N232" i="32"/>
  <c r="N231" i="32"/>
  <c r="N230" i="32"/>
  <c r="N229" i="32"/>
  <c r="N228" i="32"/>
  <c r="N227" i="32"/>
  <c r="N226" i="32"/>
  <c r="N225" i="32"/>
  <c r="N224" i="32"/>
  <c r="N223" i="32"/>
  <c r="N222" i="32"/>
  <c r="N221" i="32"/>
  <c r="N220" i="32"/>
  <c r="N219" i="32"/>
  <c r="N218" i="32"/>
  <c r="N217" i="32"/>
  <c r="N216" i="32"/>
  <c r="N215" i="32"/>
  <c r="N214" i="32"/>
  <c r="N213" i="32"/>
  <c r="N212" i="32"/>
  <c r="N211" i="32"/>
  <c r="N210" i="32"/>
  <c r="N209" i="32"/>
  <c r="N208" i="32"/>
  <c r="N207" i="32"/>
  <c r="N206" i="32"/>
  <c r="N205" i="32"/>
  <c r="N204" i="32"/>
  <c r="N203" i="32"/>
  <c r="N202" i="32"/>
  <c r="N201" i="32"/>
  <c r="N200" i="32"/>
  <c r="N199" i="32"/>
  <c r="N198" i="32"/>
  <c r="N197" i="32"/>
  <c r="N196" i="32"/>
  <c r="N195" i="32"/>
  <c r="N194" i="32"/>
  <c r="N193" i="32"/>
  <c r="N192" i="32"/>
  <c r="N191" i="32"/>
  <c r="N190" i="32"/>
  <c r="N189" i="32"/>
  <c r="N188" i="32"/>
  <c r="N187" i="32"/>
  <c r="N186" i="32"/>
  <c r="N185" i="32"/>
  <c r="N184" i="32"/>
  <c r="N183" i="32"/>
  <c r="N182" i="32"/>
  <c r="N181" i="32"/>
  <c r="N180" i="32"/>
  <c r="N179" i="32"/>
  <c r="N178" i="32"/>
  <c r="N177" i="32"/>
  <c r="N176" i="32"/>
  <c r="N175" i="32"/>
  <c r="N174" i="32"/>
  <c r="N173" i="32"/>
  <c r="N172" i="32"/>
  <c r="N171" i="32"/>
  <c r="N170" i="32"/>
  <c r="N169" i="32"/>
  <c r="N168" i="32"/>
  <c r="N167" i="32"/>
  <c r="N166" i="32"/>
  <c r="N165" i="32"/>
  <c r="N164" i="32"/>
  <c r="N163" i="32"/>
  <c r="N162" i="32"/>
  <c r="N161" i="32"/>
  <c r="N160" i="32"/>
  <c r="N159" i="32"/>
  <c r="N158" i="32"/>
  <c r="N157" i="32"/>
  <c r="N156" i="32"/>
  <c r="N155" i="32"/>
  <c r="N154" i="32"/>
  <c r="N153" i="32"/>
  <c r="N152" i="32"/>
  <c r="N151" i="32"/>
  <c r="N150" i="32"/>
  <c r="N149" i="32"/>
  <c r="N148" i="32"/>
  <c r="N147" i="32"/>
  <c r="N146" i="32"/>
  <c r="N145" i="32"/>
  <c r="N144" i="32"/>
  <c r="N143" i="32"/>
  <c r="N142" i="32"/>
  <c r="N141" i="32"/>
  <c r="N140" i="32"/>
  <c r="N139" i="32"/>
  <c r="N138" i="32"/>
  <c r="N137" i="32"/>
  <c r="N136" i="32"/>
  <c r="N135" i="32"/>
  <c r="N134" i="32"/>
  <c r="N133" i="32"/>
  <c r="N132" i="32"/>
  <c r="N131" i="32"/>
  <c r="N130" i="32"/>
  <c r="N129" i="32"/>
  <c r="N128" i="32"/>
  <c r="N127" i="32"/>
  <c r="N126" i="32"/>
  <c r="N125" i="32"/>
  <c r="N124" i="32"/>
  <c r="N123" i="32"/>
  <c r="N122" i="32"/>
  <c r="N121" i="32"/>
  <c r="N120" i="32"/>
  <c r="N119" i="32"/>
  <c r="N118" i="32"/>
  <c r="N117" i="32"/>
  <c r="N116" i="32"/>
  <c r="N115" i="32"/>
  <c r="N114" i="32"/>
  <c r="N113" i="32"/>
  <c r="N112" i="32"/>
  <c r="N111" i="32"/>
  <c r="N110" i="32"/>
  <c r="N109" i="32"/>
  <c r="N108" i="32"/>
  <c r="N107" i="32"/>
  <c r="N106" i="32"/>
  <c r="N105" i="32"/>
  <c r="N104" i="32"/>
  <c r="N103" i="32"/>
  <c r="N102" i="32"/>
  <c r="N101" i="32"/>
  <c r="N100" i="32"/>
  <c r="N99" i="32"/>
  <c r="N98" i="32"/>
  <c r="N97" i="32"/>
  <c r="N96" i="32"/>
  <c r="N95" i="32"/>
  <c r="N94" i="32"/>
  <c r="N93" i="32"/>
  <c r="N92" i="32"/>
  <c r="N91" i="32"/>
  <c r="N90" i="32"/>
  <c r="N89" i="32"/>
  <c r="N88" i="32"/>
  <c r="N87" i="32"/>
  <c r="N86" i="32"/>
  <c r="N85" i="32"/>
  <c r="N84" i="32"/>
  <c r="N83" i="32"/>
  <c r="N82" i="32"/>
  <c r="N81" i="32"/>
  <c r="N80" i="32"/>
  <c r="N79" i="32"/>
  <c r="N78" i="32"/>
  <c r="N77" i="32"/>
  <c r="N76" i="32"/>
  <c r="N75" i="32"/>
  <c r="N74" i="32"/>
  <c r="N73" i="32"/>
  <c r="N72" i="32"/>
  <c r="N71" i="32"/>
  <c r="N70" i="32"/>
  <c r="N69" i="32"/>
  <c r="N68" i="32"/>
  <c r="N67" i="32"/>
  <c r="N66" i="32"/>
  <c r="N65" i="32"/>
  <c r="N64" i="32"/>
  <c r="N63" i="32"/>
  <c r="N62" i="32"/>
  <c r="N61" i="32"/>
  <c r="N60" i="32"/>
  <c r="N59" i="32"/>
  <c r="N58" i="32"/>
  <c r="N57" i="32"/>
  <c r="N56" i="32"/>
  <c r="N55" i="32"/>
  <c r="N54" i="32"/>
  <c r="N53" i="32"/>
  <c r="N52" i="32"/>
  <c r="N51" i="32"/>
  <c r="N50" i="32"/>
  <c r="N49" i="32"/>
  <c r="N48" i="32"/>
  <c r="N47" i="32"/>
  <c r="N46" i="32"/>
  <c r="N45" i="32"/>
  <c r="N44" i="32"/>
  <c r="N43" i="32"/>
  <c r="N42" i="32"/>
  <c r="N41" i="32"/>
  <c r="N40" i="32"/>
  <c r="N39" i="32"/>
  <c r="N38" i="32"/>
  <c r="N37" i="32"/>
  <c r="N36" i="32"/>
  <c r="N35" i="32"/>
  <c r="N34" i="32"/>
  <c r="N33" i="32"/>
  <c r="N32" i="32"/>
  <c r="N31" i="32"/>
  <c r="N30" i="32"/>
  <c r="N29" i="32"/>
  <c r="N28" i="32"/>
  <c r="N27" i="32"/>
  <c r="N26" i="32"/>
  <c r="N25" i="32"/>
  <c r="N24" i="32"/>
  <c r="N23" i="32"/>
  <c r="N22" i="32"/>
  <c r="N21" i="32"/>
  <c r="N20" i="32"/>
  <c r="N19" i="32"/>
  <c r="N18" i="32"/>
  <c r="N17" i="32"/>
  <c r="N16" i="32"/>
  <c r="N15" i="32"/>
  <c r="N14" i="32"/>
  <c r="N13" i="32"/>
  <c r="N12" i="32"/>
  <c r="N11" i="32"/>
  <c r="N10" i="32"/>
  <c r="N9" i="32"/>
  <c r="N8" i="32"/>
  <c r="N7" i="32"/>
  <c r="N6" i="32"/>
  <c r="N5" i="32"/>
  <c r="N4" i="32"/>
  <c r="N3" i="32"/>
  <c r="N2" i="32"/>
  <c r="P694" i="32"/>
  <c r="P810" i="32"/>
  <c r="P814" i="32"/>
  <c r="P100" i="32"/>
  <c r="P137" i="32"/>
  <c r="P179" i="32"/>
  <c r="P377" i="32"/>
  <c r="P485" i="32"/>
  <c r="P601" i="32"/>
  <c r="P635" i="32"/>
  <c r="P649" i="32"/>
  <c r="P685" i="32"/>
  <c r="P736" i="32"/>
  <c r="P751" i="32"/>
  <c r="P807" i="32"/>
  <c r="P808" i="32"/>
  <c r="P809" i="32"/>
  <c r="P811" i="32"/>
  <c r="P813" i="32"/>
  <c r="E716" i="32" l="1"/>
  <c r="F716" i="32" s="1"/>
  <c r="E386" i="32"/>
  <c r="F386" i="32" s="1"/>
  <c r="C3" i="35"/>
  <c r="C4" i="35"/>
  <c r="C5" i="35"/>
  <c r="C6" i="35"/>
  <c r="C7" i="35"/>
  <c r="C8" i="35"/>
  <c r="C9" i="35"/>
  <c r="C10" i="35"/>
  <c r="C11" i="35"/>
  <c r="C12" i="35"/>
  <c r="C13" i="35"/>
  <c r="C14" i="35"/>
  <c r="B18" i="20" s="1"/>
  <c r="C18" i="20" s="1"/>
  <c r="C15" i="35"/>
  <c r="C16" i="35"/>
  <c r="C17" i="35"/>
  <c r="C2" i="35"/>
  <c r="H3" i="35"/>
  <c r="H4" i="35"/>
  <c r="H5" i="35"/>
  <c r="H6" i="35"/>
  <c r="H7" i="35"/>
  <c r="H8" i="35"/>
  <c r="H9" i="35"/>
  <c r="H10" i="35"/>
  <c r="H11" i="35"/>
  <c r="B19" i="20" s="1"/>
  <c r="C19" i="20" s="1"/>
  <c r="H12" i="35"/>
  <c r="H13" i="35"/>
  <c r="H14" i="35"/>
  <c r="H15" i="35"/>
  <c r="H16" i="35"/>
  <c r="H17" i="35"/>
  <c r="H18" i="35"/>
  <c r="H19" i="35"/>
  <c r="H20" i="35"/>
  <c r="H21" i="35"/>
  <c r="H22" i="35"/>
  <c r="H23" i="35"/>
  <c r="H24" i="35"/>
  <c r="H25" i="35"/>
  <c r="H26" i="35"/>
  <c r="H27" i="35"/>
  <c r="H28" i="35"/>
  <c r="H29" i="35"/>
  <c r="H30" i="35"/>
  <c r="H31" i="35"/>
  <c r="H32" i="35"/>
  <c r="H33" i="35"/>
  <c r="H34" i="35"/>
  <c r="H35" i="35"/>
  <c r="H36" i="35"/>
  <c r="H37" i="35"/>
  <c r="H38" i="35"/>
  <c r="H39" i="35"/>
  <c r="H40" i="35"/>
  <c r="H41" i="35"/>
  <c r="H42" i="35"/>
  <c r="H43" i="35"/>
  <c r="H44" i="35"/>
  <c r="H45" i="35"/>
  <c r="H46" i="35"/>
  <c r="H47" i="35"/>
  <c r="H48" i="35"/>
  <c r="H49" i="35"/>
  <c r="H2" i="35"/>
  <c r="G2" i="23"/>
  <c r="H19" i="32"/>
  <c r="P19" i="32" s="1"/>
  <c r="H20" i="32"/>
  <c r="P20" i="32" s="1"/>
  <c r="H21" i="32"/>
  <c r="P21" i="32" s="1"/>
  <c r="H22" i="32"/>
  <c r="P22" i="32" s="1"/>
  <c r="H23" i="32"/>
  <c r="P23" i="32" s="1"/>
  <c r="H24" i="32"/>
  <c r="P24" i="32" s="1"/>
  <c r="H25" i="32"/>
  <c r="P25" i="32" s="1"/>
  <c r="H26" i="32"/>
  <c r="P26" i="32" s="1"/>
  <c r="H27" i="32"/>
  <c r="P27" i="32" s="1"/>
  <c r="H28" i="32"/>
  <c r="P28" i="32" s="1"/>
  <c r="H29" i="32"/>
  <c r="P29" i="32" s="1"/>
  <c r="H30" i="32"/>
  <c r="P30" i="32" s="1"/>
  <c r="H31" i="32"/>
  <c r="P31" i="32" s="1"/>
  <c r="H32" i="32"/>
  <c r="P32" i="32" s="1"/>
  <c r="H33" i="32"/>
  <c r="P33" i="32" s="1"/>
  <c r="H34" i="32"/>
  <c r="P34" i="32" s="1"/>
  <c r="H35" i="32"/>
  <c r="P35" i="32" s="1"/>
  <c r="H36" i="32"/>
  <c r="P36" i="32" s="1"/>
  <c r="H37" i="32"/>
  <c r="P37" i="32" s="1"/>
  <c r="H38" i="32"/>
  <c r="P38" i="32" s="1"/>
  <c r="H39" i="32"/>
  <c r="P39" i="32" s="1"/>
  <c r="H40" i="32"/>
  <c r="P40" i="32" s="1"/>
  <c r="H41" i="32"/>
  <c r="P41" i="32" s="1"/>
  <c r="H42" i="32"/>
  <c r="P42" i="32" s="1"/>
  <c r="H43" i="32"/>
  <c r="P43" i="32" s="1"/>
  <c r="H44" i="32"/>
  <c r="P44" i="32" s="1"/>
  <c r="H45" i="32"/>
  <c r="P45" i="32" s="1"/>
  <c r="H46" i="32"/>
  <c r="P46" i="32" s="1"/>
  <c r="H47" i="32"/>
  <c r="P47" i="32" s="1"/>
  <c r="H48" i="32"/>
  <c r="P48" i="32" s="1"/>
  <c r="H49" i="32"/>
  <c r="P49" i="32" s="1"/>
  <c r="H50" i="32"/>
  <c r="P50" i="32" s="1"/>
  <c r="H51" i="32"/>
  <c r="P51" i="32" s="1"/>
  <c r="H52" i="32"/>
  <c r="P52" i="32" s="1"/>
  <c r="H53" i="32"/>
  <c r="P53" i="32" s="1"/>
  <c r="H54" i="32"/>
  <c r="P54" i="32" s="1"/>
  <c r="H55" i="32"/>
  <c r="P55" i="32" s="1"/>
  <c r="H56" i="32"/>
  <c r="P56" i="32" s="1"/>
  <c r="H57" i="32"/>
  <c r="P57" i="32" s="1"/>
  <c r="H58" i="32"/>
  <c r="P58" i="32" s="1"/>
  <c r="H59" i="32"/>
  <c r="P59" i="32" s="1"/>
  <c r="H60" i="32"/>
  <c r="P60" i="32" s="1"/>
  <c r="H61" i="32"/>
  <c r="P61" i="32" s="1"/>
  <c r="H62" i="32"/>
  <c r="P62" i="32" s="1"/>
  <c r="H63" i="32"/>
  <c r="P63" i="32" s="1"/>
  <c r="H64" i="32"/>
  <c r="P64" i="32" s="1"/>
  <c r="H65" i="32"/>
  <c r="P65" i="32" s="1"/>
  <c r="H66" i="32"/>
  <c r="P66" i="32" s="1"/>
  <c r="H67" i="32"/>
  <c r="P67" i="32" s="1"/>
  <c r="H68" i="32"/>
  <c r="P68" i="32" s="1"/>
  <c r="H69" i="32"/>
  <c r="P69" i="32" s="1"/>
  <c r="H70" i="32"/>
  <c r="P70" i="32" s="1"/>
  <c r="H71" i="32"/>
  <c r="P71" i="32" s="1"/>
  <c r="H73" i="32"/>
  <c r="P73" i="32" s="1"/>
  <c r="H74" i="32"/>
  <c r="P74" i="32" s="1"/>
  <c r="H75" i="32"/>
  <c r="P75" i="32" s="1"/>
  <c r="H76" i="32"/>
  <c r="P76" i="32" s="1"/>
  <c r="H77" i="32"/>
  <c r="P77" i="32" s="1"/>
  <c r="H78" i="32"/>
  <c r="P78" i="32" s="1"/>
  <c r="H79" i="32"/>
  <c r="P79" i="32" s="1"/>
  <c r="H80" i="32"/>
  <c r="P80" i="32" s="1"/>
  <c r="H81" i="32"/>
  <c r="P81" i="32" s="1"/>
  <c r="H82" i="32"/>
  <c r="P82" i="32" s="1"/>
  <c r="H83" i="32"/>
  <c r="P83" i="32" s="1"/>
  <c r="H84" i="32"/>
  <c r="P84" i="32" s="1"/>
  <c r="H85" i="32"/>
  <c r="P85" i="32" s="1"/>
  <c r="H86" i="32"/>
  <c r="P86" i="32" s="1"/>
  <c r="H87" i="32"/>
  <c r="P87" i="32" s="1"/>
  <c r="H88" i="32"/>
  <c r="P88" i="32" s="1"/>
  <c r="H89" i="32"/>
  <c r="P89" i="32" s="1"/>
  <c r="H90" i="32"/>
  <c r="P90" i="32" s="1"/>
  <c r="H91" i="32"/>
  <c r="P91" i="32" s="1"/>
  <c r="H92" i="32"/>
  <c r="P92" i="32" s="1"/>
  <c r="H93" i="32"/>
  <c r="P93" i="32" s="1"/>
  <c r="H94" i="32"/>
  <c r="P94" i="32" s="1"/>
  <c r="H95" i="32"/>
  <c r="P95" i="32" s="1"/>
  <c r="H96" i="32"/>
  <c r="P96" i="32" s="1"/>
  <c r="H97" i="32"/>
  <c r="P97" i="32" s="1"/>
  <c r="H98" i="32"/>
  <c r="P98" i="32" s="1"/>
  <c r="H99" i="32"/>
  <c r="P99" i="32" s="1"/>
  <c r="H101" i="32"/>
  <c r="P101" i="32" s="1"/>
  <c r="H102" i="32"/>
  <c r="P102" i="32" s="1"/>
  <c r="H103" i="32"/>
  <c r="P103" i="32" s="1"/>
  <c r="H104" i="32"/>
  <c r="P104" i="32" s="1"/>
  <c r="H105" i="32"/>
  <c r="P105" i="32" s="1"/>
  <c r="H106" i="32"/>
  <c r="P106" i="32" s="1"/>
  <c r="H107" i="32"/>
  <c r="P107" i="32" s="1"/>
  <c r="H108" i="32"/>
  <c r="P108" i="32" s="1"/>
  <c r="H109" i="32"/>
  <c r="P109" i="32" s="1"/>
  <c r="H110" i="32"/>
  <c r="P110" i="32" s="1"/>
  <c r="H111" i="32"/>
  <c r="P111" i="32" s="1"/>
  <c r="H112" i="32"/>
  <c r="P112" i="32" s="1"/>
  <c r="H113" i="32"/>
  <c r="P113" i="32" s="1"/>
  <c r="H114" i="32"/>
  <c r="P114" i="32" s="1"/>
  <c r="H115" i="32"/>
  <c r="P115" i="32" s="1"/>
  <c r="H116" i="32"/>
  <c r="P116" i="32" s="1"/>
  <c r="H117" i="32"/>
  <c r="P117" i="32" s="1"/>
  <c r="H118" i="32"/>
  <c r="P118" i="32" s="1"/>
  <c r="H119" i="32"/>
  <c r="P119" i="32" s="1"/>
  <c r="H120" i="32"/>
  <c r="P120" i="32" s="1"/>
  <c r="H121" i="32"/>
  <c r="P121" i="32" s="1"/>
  <c r="H122" i="32"/>
  <c r="P122" i="32" s="1"/>
  <c r="H123" i="32"/>
  <c r="P123" i="32" s="1"/>
  <c r="H124" i="32"/>
  <c r="P124" i="32" s="1"/>
  <c r="H125" i="32"/>
  <c r="P125" i="32" s="1"/>
  <c r="H126" i="32"/>
  <c r="P126" i="32" s="1"/>
  <c r="H127" i="32"/>
  <c r="P127" i="32" s="1"/>
  <c r="H128" i="32"/>
  <c r="P128" i="32" s="1"/>
  <c r="H129" i="32"/>
  <c r="P129" i="32" s="1"/>
  <c r="H130" i="32"/>
  <c r="P130" i="32" s="1"/>
  <c r="H131" i="32"/>
  <c r="P131" i="32" s="1"/>
  <c r="H132" i="32"/>
  <c r="P132" i="32" s="1"/>
  <c r="H133" i="32"/>
  <c r="P133" i="32" s="1"/>
  <c r="H134" i="32"/>
  <c r="P134" i="32" s="1"/>
  <c r="H135" i="32"/>
  <c r="P135" i="32" s="1"/>
  <c r="H136" i="32"/>
  <c r="P136" i="32" s="1"/>
  <c r="H138" i="32"/>
  <c r="P138" i="32" s="1"/>
  <c r="H139" i="32"/>
  <c r="P139" i="32" s="1"/>
  <c r="H140" i="32"/>
  <c r="P140" i="32" s="1"/>
  <c r="H141" i="32"/>
  <c r="P141" i="32" s="1"/>
  <c r="H142" i="32"/>
  <c r="P142" i="32" s="1"/>
  <c r="H143" i="32"/>
  <c r="P143" i="32" s="1"/>
  <c r="H144" i="32"/>
  <c r="P144" i="32" s="1"/>
  <c r="H145" i="32"/>
  <c r="P145" i="32" s="1"/>
  <c r="H146" i="32"/>
  <c r="P146" i="32" s="1"/>
  <c r="H147" i="32"/>
  <c r="P147" i="32" s="1"/>
  <c r="H148" i="32"/>
  <c r="P148" i="32" s="1"/>
  <c r="H149" i="32"/>
  <c r="P149" i="32" s="1"/>
  <c r="H150" i="32"/>
  <c r="P150" i="32" s="1"/>
  <c r="H151" i="32"/>
  <c r="P151" i="32" s="1"/>
  <c r="H152" i="32"/>
  <c r="P152" i="32" s="1"/>
  <c r="H153" i="32"/>
  <c r="P153" i="32" s="1"/>
  <c r="H154" i="32"/>
  <c r="P154" i="32" s="1"/>
  <c r="H155" i="32"/>
  <c r="P155" i="32" s="1"/>
  <c r="H156" i="32"/>
  <c r="P156" i="32" s="1"/>
  <c r="H157" i="32"/>
  <c r="P157" i="32" s="1"/>
  <c r="H158" i="32"/>
  <c r="P158" i="32" s="1"/>
  <c r="H159" i="32"/>
  <c r="P159" i="32" s="1"/>
  <c r="H160" i="32"/>
  <c r="P160" i="32" s="1"/>
  <c r="H161" i="32"/>
  <c r="P161" i="32" s="1"/>
  <c r="H162" i="32"/>
  <c r="P162" i="32" s="1"/>
  <c r="H163" i="32"/>
  <c r="P163" i="32" s="1"/>
  <c r="H164" i="32"/>
  <c r="P164" i="32" s="1"/>
  <c r="H165" i="32"/>
  <c r="P165" i="32" s="1"/>
  <c r="H166" i="32"/>
  <c r="P166" i="32" s="1"/>
  <c r="H167" i="32"/>
  <c r="P167" i="32" s="1"/>
  <c r="H168" i="32"/>
  <c r="P168" i="32" s="1"/>
  <c r="H169" i="32"/>
  <c r="P169" i="32" s="1"/>
  <c r="H170" i="32"/>
  <c r="P170" i="32" s="1"/>
  <c r="H171" i="32"/>
  <c r="P171" i="32" s="1"/>
  <c r="H172" i="32"/>
  <c r="P172" i="32" s="1"/>
  <c r="H173" i="32"/>
  <c r="P173" i="32" s="1"/>
  <c r="H174" i="32"/>
  <c r="P174" i="32" s="1"/>
  <c r="H175" i="32"/>
  <c r="P175" i="32" s="1"/>
  <c r="H176" i="32"/>
  <c r="P176" i="32" s="1"/>
  <c r="H177" i="32"/>
  <c r="P177" i="32" s="1"/>
  <c r="H178" i="32"/>
  <c r="P178" i="32" s="1"/>
  <c r="H180" i="32"/>
  <c r="P180" i="32" s="1"/>
  <c r="H181" i="32"/>
  <c r="P181" i="32" s="1"/>
  <c r="H182" i="32"/>
  <c r="P182" i="32" s="1"/>
  <c r="H183" i="32"/>
  <c r="P183" i="32" s="1"/>
  <c r="H184" i="32"/>
  <c r="P184" i="32" s="1"/>
  <c r="H185" i="32"/>
  <c r="P185" i="32" s="1"/>
  <c r="H186" i="32"/>
  <c r="P186" i="32" s="1"/>
  <c r="H187" i="32"/>
  <c r="P187" i="32" s="1"/>
  <c r="H188" i="32"/>
  <c r="P188" i="32" s="1"/>
  <c r="H189" i="32"/>
  <c r="P189" i="32" s="1"/>
  <c r="H190" i="32"/>
  <c r="P190" i="32" s="1"/>
  <c r="H191" i="32"/>
  <c r="P191" i="32" s="1"/>
  <c r="H192" i="32"/>
  <c r="P192" i="32" s="1"/>
  <c r="H193" i="32"/>
  <c r="P193" i="32" s="1"/>
  <c r="H194" i="32"/>
  <c r="P194" i="32" s="1"/>
  <c r="H195" i="32"/>
  <c r="P195" i="32" s="1"/>
  <c r="H196" i="32"/>
  <c r="P196" i="32" s="1"/>
  <c r="H197" i="32"/>
  <c r="P197" i="32" s="1"/>
  <c r="H198" i="32"/>
  <c r="P198" i="32" s="1"/>
  <c r="H199" i="32"/>
  <c r="P199" i="32" s="1"/>
  <c r="H200" i="32"/>
  <c r="P200" i="32" s="1"/>
  <c r="H201" i="32"/>
  <c r="P201" i="32" s="1"/>
  <c r="H202" i="32"/>
  <c r="P202" i="32" s="1"/>
  <c r="H203" i="32"/>
  <c r="P203" i="32" s="1"/>
  <c r="H204" i="32"/>
  <c r="P204" i="32" s="1"/>
  <c r="H205" i="32"/>
  <c r="P205" i="32" s="1"/>
  <c r="H206" i="32"/>
  <c r="P206" i="32" s="1"/>
  <c r="H207" i="32"/>
  <c r="P207" i="32" s="1"/>
  <c r="H208" i="32"/>
  <c r="P208" i="32" s="1"/>
  <c r="H209" i="32"/>
  <c r="P209" i="32" s="1"/>
  <c r="H210" i="32"/>
  <c r="P210" i="32" s="1"/>
  <c r="H211" i="32"/>
  <c r="P211" i="32" s="1"/>
  <c r="H212" i="32"/>
  <c r="P212" i="32" s="1"/>
  <c r="H213" i="32"/>
  <c r="P213" i="32" s="1"/>
  <c r="H214" i="32"/>
  <c r="P214" i="32" s="1"/>
  <c r="H215" i="32"/>
  <c r="P215" i="32" s="1"/>
  <c r="H216" i="32"/>
  <c r="P216" i="32" s="1"/>
  <c r="H217" i="32"/>
  <c r="P217" i="32" s="1"/>
  <c r="H218" i="32"/>
  <c r="P218" i="32" s="1"/>
  <c r="H219" i="32"/>
  <c r="P219" i="32" s="1"/>
  <c r="H220" i="32"/>
  <c r="P220" i="32" s="1"/>
  <c r="H221" i="32"/>
  <c r="P221" i="32" s="1"/>
  <c r="H222" i="32"/>
  <c r="P222" i="32" s="1"/>
  <c r="H223" i="32"/>
  <c r="P223" i="32" s="1"/>
  <c r="H224" i="32"/>
  <c r="P224" i="32" s="1"/>
  <c r="H225" i="32"/>
  <c r="P225" i="32" s="1"/>
  <c r="H226" i="32"/>
  <c r="P226" i="32" s="1"/>
  <c r="H227" i="32"/>
  <c r="P227" i="32" s="1"/>
  <c r="H228" i="32"/>
  <c r="P228" i="32" s="1"/>
  <c r="H229" i="32"/>
  <c r="P229" i="32" s="1"/>
  <c r="H230" i="32"/>
  <c r="P230" i="32" s="1"/>
  <c r="H231" i="32"/>
  <c r="P231" i="32" s="1"/>
  <c r="H232" i="32"/>
  <c r="P232" i="32" s="1"/>
  <c r="H233" i="32"/>
  <c r="P233" i="32" s="1"/>
  <c r="H234" i="32"/>
  <c r="P234" i="32" s="1"/>
  <c r="H235" i="32"/>
  <c r="P235" i="32" s="1"/>
  <c r="H236" i="32"/>
  <c r="P236" i="32" s="1"/>
  <c r="H237" i="32"/>
  <c r="P237" i="32" s="1"/>
  <c r="H238" i="32"/>
  <c r="P238" i="32" s="1"/>
  <c r="H239" i="32"/>
  <c r="P239" i="32" s="1"/>
  <c r="H240" i="32"/>
  <c r="P240" i="32" s="1"/>
  <c r="H241" i="32"/>
  <c r="P241" i="32" s="1"/>
  <c r="H242" i="32"/>
  <c r="P242" i="32" s="1"/>
  <c r="H243" i="32"/>
  <c r="P243" i="32" s="1"/>
  <c r="H244" i="32"/>
  <c r="P244" i="32" s="1"/>
  <c r="H245" i="32"/>
  <c r="P245" i="32" s="1"/>
  <c r="H246" i="32"/>
  <c r="P246" i="32" s="1"/>
  <c r="H247" i="32"/>
  <c r="P247" i="32" s="1"/>
  <c r="H248" i="32"/>
  <c r="P248" i="32" s="1"/>
  <c r="H249" i="32"/>
  <c r="P249" i="32" s="1"/>
  <c r="H250" i="32"/>
  <c r="P250" i="32" s="1"/>
  <c r="H251" i="32"/>
  <c r="P251" i="32" s="1"/>
  <c r="H252" i="32"/>
  <c r="P252" i="32" s="1"/>
  <c r="H253" i="32"/>
  <c r="P253" i="32" s="1"/>
  <c r="H254" i="32"/>
  <c r="P254" i="32" s="1"/>
  <c r="H255" i="32"/>
  <c r="P255" i="32" s="1"/>
  <c r="H256" i="32"/>
  <c r="P256" i="32" s="1"/>
  <c r="H257" i="32"/>
  <c r="P257" i="32" s="1"/>
  <c r="H258" i="32"/>
  <c r="P258" i="32" s="1"/>
  <c r="H259" i="32"/>
  <c r="P259" i="32" s="1"/>
  <c r="H260" i="32"/>
  <c r="P260" i="32" s="1"/>
  <c r="H261" i="32"/>
  <c r="P261" i="32" s="1"/>
  <c r="H262" i="32"/>
  <c r="P262" i="32" s="1"/>
  <c r="H263" i="32"/>
  <c r="P263" i="32" s="1"/>
  <c r="H264" i="32"/>
  <c r="P264" i="32" s="1"/>
  <c r="H265" i="32"/>
  <c r="P265" i="32" s="1"/>
  <c r="H266" i="32"/>
  <c r="P266" i="32" s="1"/>
  <c r="H267" i="32"/>
  <c r="P267" i="32" s="1"/>
  <c r="H268" i="32"/>
  <c r="P268" i="32" s="1"/>
  <c r="H269" i="32"/>
  <c r="P269" i="32" s="1"/>
  <c r="H270" i="32"/>
  <c r="P270" i="32" s="1"/>
  <c r="H271" i="32"/>
  <c r="P271" i="32" s="1"/>
  <c r="H272" i="32"/>
  <c r="P272" i="32" s="1"/>
  <c r="H273" i="32"/>
  <c r="P273" i="32" s="1"/>
  <c r="H274" i="32"/>
  <c r="P274" i="32" s="1"/>
  <c r="H275" i="32"/>
  <c r="P275" i="32" s="1"/>
  <c r="H276" i="32"/>
  <c r="P276" i="32" s="1"/>
  <c r="H277" i="32"/>
  <c r="P277" i="32" s="1"/>
  <c r="H278" i="32"/>
  <c r="P278" i="32" s="1"/>
  <c r="H279" i="32"/>
  <c r="P279" i="32" s="1"/>
  <c r="H280" i="32"/>
  <c r="P280" i="32" s="1"/>
  <c r="H281" i="32"/>
  <c r="P281" i="32" s="1"/>
  <c r="H282" i="32"/>
  <c r="P282" i="32" s="1"/>
  <c r="H283" i="32"/>
  <c r="P283" i="32" s="1"/>
  <c r="H284" i="32"/>
  <c r="P284" i="32" s="1"/>
  <c r="H285" i="32"/>
  <c r="P285" i="32" s="1"/>
  <c r="H286" i="32"/>
  <c r="P286" i="32" s="1"/>
  <c r="H287" i="32"/>
  <c r="P287" i="32" s="1"/>
  <c r="H288" i="32"/>
  <c r="P288" i="32" s="1"/>
  <c r="H289" i="32"/>
  <c r="P289" i="32" s="1"/>
  <c r="H290" i="32"/>
  <c r="P290" i="32" s="1"/>
  <c r="H291" i="32"/>
  <c r="P291" i="32" s="1"/>
  <c r="H292" i="32"/>
  <c r="P292" i="32" s="1"/>
  <c r="H293" i="32"/>
  <c r="P293" i="32" s="1"/>
  <c r="H294" i="32"/>
  <c r="P294" i="32" s="1"/>
  <c r="H295" i="32"/>
  <c r="P295" i="32" s="1"/>
  <c r="H296" i="32"/>
  <c r="P296" i="32" s="1"/>
  <c r="H297" i="32"/>
  <c r="P297" i="32" s="1"/>
  <c r="H298" i="32"/>
  <c r="P298" i="32" s="1"/>
  <c r="H299" i="32"/>
  <c r="P299" i="32" s="1"/>
  <c r="H300" i="32"/>
  <c r="P300" i="32" s="1"/>
  <c r="H301" i="32"/>
  <c r="P301" i="32" s="1"/>
  <c r="H302" i="32"/>
  <c r="P302" i="32" s="1"/>
  <c r="H303" i="32"/>
  <c r="P303" i="32" s="1"/>
  <c r="H304" i="32"/>
  <c r="P304" i="32" s="1"/>
  <c r="H305" i="32"/>
  <c r="P305" i="32" s="1"/>
  <c r="H306" i="32"/>
  <c r="P306" i="32" s="1"/>
  <c r="H307" i="32"/>
  <c r="P307" i="32" s="1"/>
  <c r="H308" i="32"/>
  <c r="P308" i="32" s="1"/>
  <c r="H309" i="32"/>
  <c r="P309" i="32" s="1"/>
  <c r="H310" i="32"/>
  <c r="P310" i="32" s="1"/>
  <c r="H311" i="32"/>
  <c r="P311" i="32" s="1"/>
  <c r="H312" i="32"/>
  <c r="P312" i="32" s="1"/>
  <c r="H313" i="32"/>
  <c r="P313" i="32" s="1"/>
  <c r="H314" i="32"/>
  <c r="P314" i="32" s="1"/>
  <c r="H315" i="32"/>
  <c r="P315" i="32" s="1"/>
  <c r="H316" i="32"/>
  <c r="P316" i="32" s="1"/>
  <c r="H317" i="32"/>
  <c r="P317" i="32" s="1"/>
  <c r="H318" i="32"/>
  <c r="P318" i="32" s="1"/>
  <c r="H319" i="32"/>
  <c r="P319" i="32" s="1"/>
  <c r="H320" i="32"/>
  <c r="P320" i="32" s="1"/>
  <c r="H321" i="32"/>
  <c r="P321" i="32" s="1"/>
  <c r="H322" i="32"/>
  <c r="P322" i="32" s="1"/>
  <c r="H323" i="32"/>
  <c r="P323" i="32" s="1"/>
  <c r="H324" i="32"/>
  <c r="P324" i="32" s="1"/>
  <c r="H325" i="32"/>
  <c r="P325" i="32" s="1"/>
  <c r="H326" i="32"/>
  <c r="P326" i="32" s="1"/>
  <c r="H327" i="32"/>
  <c r="P327" i="32" s="1"/>
  <c r="H328" i="32"/>
  <c r="P328" i="32" s="1"/>
  <c r="H329" i="32"/>
  <c r="P329" i="32" s="1"/>
  <c r="H330" i="32"/>
  <c r="P330" i="32" s="1"/>
  <c r="H331" i="32"/>
  <c r="P331" i="32" s="1"/>
  <c r="H332" i="32"/>
  <c r="P332" i="32" s="1"/>
  <c r="H333" i="32"/>
  <c r="P333" i="32" s="1"/>
  <c r="H334" i="32"/>
  <c r="P334" i="32" s="1"/>
  <c r="H335" i="32"/>
  <c r="P335" i="32" s="1"/>
  <c r="H336" i="32"/>
  <c r="P336" i="32" s="1"/>
  <c r="H337" i="32"/>
  <c r="P337" i="32" s="1"/>
  <c r="H338" i="32"/>
  <c r="P338" i="32" s="1"/>
  <c r="H339" i="32"/>
  <c r="P339" i="32" s="1"/>
  <c r="H340" i="32"/>
  <c r="P340" i="32" s="1"/>
  <c r="H341" i="32"/>
  <c r="P341" i="32" s="1"/>
  <c r="H342" i="32"/>
  <c r="P342" i="32" s="1"/>
  <c r="H343" i="32"/>
  <c r="P343" i="32" s="1"/>
  <c r="H344" i="32"/>
  <c r="P344" i="32" s="1"/>
  <c r="H345" i="32"/>
  <c r="P345" i="32" s="1"/>
  <c r="H346" i="32"/>
  <c r="P346" i="32" s="1"/>
  <c r="H347" i="32"/>
  <c r="P347" i="32" s="1"/>
  <c r="H348" i="32"/>
  <c r="P348" i="32" s="1"/>
  <c r="H349" i="32"/>
  <c r="P349" i="32" s="1"/>
  <c r="H350" i="32"/>
  <c r="P350" i="32" s="1"/>
  <c r="H351" i="32"/>
  <c r="P351" i="32" s="1"/>
  <c r="H352" i="32"/>
  <c r="P352" i="32" s="1"/>
  <c r="H353" i="32"/>
  <c r="P353" i="32" s="1"/>
  <c r="H354" i="32"/>
  <c r="P354" i="32" s="1"/>
  <c r="H355" i="32"/>
  <c r="P355" i="32" s="1"/>
  <c r="H356" i="32"/>
  <c r="P356" i="32" s="1"/>
  <c r="H357" i="32"/>
  <c r="P357" i="32" s="1"/>
  <c r="H358" i="32"/>
  <c r="P358" i="32" s="1"/>
  <c r="H359" i="32"/>
  <c r="P359" i="32" s="1"/>
  <c r="H360" i="32"/>
  <c r="P360" i="32" s="1"/>
  <c r="H361" i="32"/>
  <c r="P361" i="32" s="1"/>
  <c r="H362" i="32"/>
  <c r="P362" i="32" s="1"/>
  <c r="H363" i="32"/>
  <c r="P363" i="32" s="1"/>
  <c r="H364" i="32"/>
  <c r="P364" i="32" s="1"/>
  <c r="H365" i="32"/>
  <c r="P365" i="32" s="1"/>
  <c r="H366" i="32"/>
  <c r="P366" i="32" s="1"/>
  <c r="H367" i="32"/>
  <c r="P367" i="32" s="1"/>
  <c r="H368" i="32"/>
  <c r="P368" i="32" s="1"/>
  <c r="H369" i="32"/>
  <c r="P369" i="32" s="1"/>
  <c r="H370" i="32"/>
  <c r="P370" i="32" s="1"/>
  <c r="H371" i="32"/>
  <c r="P371" i="32" s="1"/>
  <c r="H372" i="32"/>
  <c r="P372" i="32" s="1"/>
  <c r="H373" i="32"/>
  <c r="P373" i="32" s="1"/>
  <c r="H374" i="32"/>
  <c r="P374" i="32" s="1"/>
  <c r="H375" i="32"/>
  <c r="P375" i="32" s="1"/>
  <c r="H376" i="32"/>
  <c r="P376" i="32" s="1"/>
  <c r="H378" i="32"/>
  <c r="P378" i="32" s="1"/>
  <c r="H379" i="32"/>
  <c r="P379" i="32" s="1"/>
  <c r="H380" i="32"/>
  <c r="P380" i="32" s="1"/>
  <c r="H381" i="32"/>
  <c r="P381" i="32" s="1"/>
  <c r="H382" i="32"/>
  <c r="P382" i="32" s="1"/>
  <c r="H383" i="32"/>
  <c r="P383" i="32" s="1"/>
  <c r="H384" i="32"/>
  <c r="P384" i="32" s="1"/>
  <c r="H385" i="32"/>
  <c r="P385" i="32" s="1"/>
  <c r="H387" i="32"/>
  <c r="P387" i="32" s="1"/>
  <c r="H388" i="32"/>
  <c r="P388" i="32" s="1"/>
  <c r="H389" i="32"/>
  <c r="P389" i="32" s="1"/>
  <c r="H390" i="32"/>
  <c r="P390" i="32" s="1"/>
  <c r="H391" i="32"/>
  <c r="P391" i="32" s="1"/>
  <c r="H392" i="32"/>
  <c r="P392" i="32" s="1"/>
  <c r="H393" i="32"/>
  <c r="P393" i="32" s="1"/>
  <c r="H394" i="32"/>
  <c r="P394" i="32" s="1"/>
  <c r="H395" i="32"/>
  <c r="P395" i="32" s="1"/>
  <c r="H396" i="32"/>
  <c r="P396" i="32" s="1"/>
  <c r="H397" i="32"/>
  <c r="P397" i="32" s="1"/>
  <c r="H398" i="32"/>
  <c r="P398" i="32" s="1"/>
  <c r="H399" i="32"/>
  <c r="P399" i="32" s="1"/>
  <c r="H400" i="32"/>
  <c r="P400" i="32" s="1"/>
  <c r="H401" i="32"/>
  <c r="P401" i="32" s="1"/>
  <c r="H402" i="32"/>
  <c r="P402" i="32" s="1"/>
  <c r="H403" i="32"/>
  <c r="P403" i="32" s="1"/>
  <c r="H404" i="32"/>
  <c r="P404" i="32" s="1"/>
  <c r="H405" i="32"/>
  <c r="P405" i="32" s="1"/>
  <c r="H406" i="32"/>
  <c r="P406" i="32" s="1"/>
  <c r="H407" i="32"/>
  <c r="P407" i="32" s="1"/>
  <c r="H408" i="32"/>
  <c r="P408" i="32" s="1"/>
  <c r="H409" i="32"/>
  <c r="P409" i="32" s="1"/>
  <c r="H410" i="32"/>
  <c r="P410" i="32" s="1"/>
  <c r="H411" i="32"/>
  <c r="P411" i="32" s="1"/>
  <c r="H412" i="32"/>
  <c r="P412" i="32" s="1"/>
  <c r="H413" i="32"/>
  <c r="P413" i="32" s="1"/>
  <c r="H414" i="32"/>
  <c r="P414" i="32" s="1"/>
  <c r="H415" i="32"/>
  <c r="P415" i="32" s="1"/>
  <c r="H416" i="32"/>
  <c r="P416" i="32" s="1"/>
  <c r="H417" i="32"/>
  <c r="P417" i="32" s="1"/>
  <c r="H418" i="32"/>
  <c r="P418" i="32" s="1"/>
  <c r="H419" i="32"/>
  <c r="P419" i="32" s="1"/>
  <c r="H420" i="32"/>
  <c r="P420" i="32" s="1"/>
  <c r="H421" i="32"/>
  <c r="P421" i="32" s="1"/>
  <c r="H422" i="32"/>
  <c r="P422" i="32" s="1"/>
  <c r="H423" i="32"/>
  <c r="P423" i="32" s="1"/>
  <c r="H424" i="32"/>
  <c r="P424" i="32" s="1"/>
  <c r="H425" i="32"/>
  <c r="P425" i="32" s="1"/>
  <c r="H426" i="32"/>
  <c r="P426" i="32" s="1"/>
  <c r="H427" i="32"/>
  <c r="P427" i="32" s="1"/>
  <c r="H428" i="32"/>
  <c r="P428" i="32" s="1"/>
  <c r="H429" i="32"/>
  <c r="P429" i="32" s="1"/>
  <c r="H430" i="32"/>
  <c r="P430" i="32" s="1"/>
  <c r="H431" i="32"/>
  <c r="P431" i="32" s="1"/>
  <c r="H432" i="32"/>
  <c r="P432" i="32" s="1"/>
  <c r="H433" i="32"/>
  <c r="P433" i="32" s="1"/>
  <c r="H434" i="32"/>
  <c r="P434" i="32" s="1"/>
  <c r="H435" i="32"/>
  <c r="P435" i="32" s="1"/>
  <c r="H436" i="32"/>
  <c r="P436" i="32" s="1"/>
  <c r="H437" i="32"/>
  <c r="P437" i="32" s="1"/>
  <c r="H438" i="32"/>
  <c r="P438" i="32" s="1"/>
  <c r="H439" i="32"/>
  <c r="P439" i="32" s="1"/>
  <c r="H440" i="32"/>
  <c r="P440" i="32" s="1"/>
  <c r="H441" i="32"/>
  <c r="P441" i="32" s="1"/>
  <c r="H442" i="32"/>
  <c r="P442" i="32" s="1"/>
  <c r="H443" i="32"/>
  <c r="P443" i="32" s="1"/>
  <c r="H444" i="32"/>
  <c r="P444" i="32" s="1"/>
  <c r="H445" i="32"/>
  <c r="P445" i="32" s="1"/>
  <c r="H446" i="32"/>
  <c r="P446" i="32" s="1"/>
  <c r="H447" i="32"/>
  <c r="P447" i="32" s="1"/>
  <c r="H448" i="32"/>
  <c r="P448" i="32" s="1"/>
  <c r="H449" i="32"/>
  <c r="P449" i="32" s="1"/>
  <c r="H450" i="32"/>
  <c r="P450" i="32" s="1"/>
  <c r="H451" i="32"/>
  <c r="P451" i="32" s="1"/>
  <c r="H452" i="32"/>
  <c r="P452" i="32" s="1"/>
  <c r="H453" i="32"/>
  <c r="P453" i="32" s="1"/>
  <c r="H454" i="32"/>
  <c r="P454" i="32" s="1"/>
  <c r="H455" i="32"/>
  <c r="P455" i="32" s="1"/>
  <c r="H456" i="32"/>
  <c r="P456" i="32" s="1"/>
  <c r="H457" i="32"/>
  <c r="P457" i="32" s="1"/>
  <c r="H458" i="32"/>
  <c r="P458" i="32" s="1"/>
  <c r="H459" i="32"/>
  <c r="P459" i="32" s="1"/>
  <c r="H460" i="32"/>
  <c r="P460" i="32" s="1"/>
  <c r="H461" i="32"/>
  <c r="P461" i="32" s="1"/>
  <c r="H462" i="32"/>
  <c r="P462" i="32" s="1"/>
  <c r="H463" i="32"/>
  <c r="P463" i="32" s="1"/>
  <c r="H464" i="32"/>
  <c r="P464" i="32" s="1"/>
  <c r="H465" i="32"/>
  <c r="P465" i="32" s="1"/>
  <c r="H466" i="32"/>
  <c r="P466" i="32" s="1"/>
  <c r="H467" i="32"/>
  <c r="P467" i="32" s="1"/>
  <c r="H468" i="32"/>
  <c r="P468" i="32" s="1"/>
  <c r="H469" i="32"/>
  <c r="P469" i="32" s="1"/>
  <c r="H470" i="32"/>
  <c r="P470" i="32" s="1"/>
  <c r="H471" i="32"/>
  <c r="P471" i="32" s="1"/>
  <c r="H472" i="32"/>
  <c r="P472" i="32" s="1"/>
  <c r="H473" i="32"/>
  <c r="P473" i="32" s="1"/>
  <c r="H474" i="32"/>
  <c r="P474" i="32" s="1"/>
  <c r="H475" i="32"/>
  <c r="P475" i="32" s="1"/>
  <c r="H476" i="32"/>
  <c r="P476" i="32" s="1"/>
  <c r="H477" i="32"/>
  <c r="P477" i="32" s="1"/>
  <c r="H478" i="32"/>
  <c r="P478" i="32" s="1"/>
  <c r="H479" i="32"/>
  <c r="P479" i="32" s="1"/>
  <c r="H480" i="32"/>
  <c r="P480" i="32" s="1"/>
  <c r="H481" i="32"/>
  <c r="P481" i="32" s="1"/>
  <c r="H482" i="32"/>
  <c r="P482" i="32" s="1"/>
  <c r="H483" i="32"/>
  <c r="P483" i="32" s="1"/>
  <c r="H484" i="32"/>
  <c r="P484" i="32" s="1"/>
  <c r="H486" i="32"/>
  <c r="P486" i="32" s="1"/>
  <c r="H487" i="32"/>
  <c r="P487" i="32" s="1"/>
  <c r="H488" i="32"/>
  <c r="P488" i="32" s="1"/>
  <c r="H489" i="32"/>
  <c r="P489" i="32" s="1"/>
  <c r="H490" i="32"/>
  <c r="P490" i="32" s="1"/>
  <c r="H491" i="32"/>
  <c r="P491" i="32" s="1"/>
  <c r="H492" i="32"/>
  <c r="P492" i="32" s="1"/>
  <c r="H493" i="32"/>
  <c r="P493" i="32" s="1"/>
  <c r="H494" i="32"/>
  <c r="P494" i="32" s="1"/>
  <c r="H495" i="32"/>
  <c r="P495" i="32" s="1"/>
  <c r="H496" i="32"/>
  <c r="P496" i="32" s="1"/>
  <c r="H497" i="32"/>
  <c r="P497" i="32" s="1"/>
  <c r="H498" i="32"/>
  <c r="P498" i="32" s="1"/>
  <c r="H499" i="32"/>
  <c r="P499" i="32" s="1"/>
  <c r="H500" i="32"/>
  <c r="P500" i="32" s="1"/>
  <c r="H501" i="32"/>
  <c r="P501" i="32" s="1"/>
  <c r="H502" i="32"/>
  <c r="P502" i="32" s="1"/>
  <c r="H503" i="32"/>
  <c r="P503" i="32" s="1"/>
  <c r="H504" i="32"/>
  <c r="P504" i="32" s="1"/>
  <c r="H505" i="32"/>
  <c r="P505" i="32" s="1"/>
  <c r="H506" i="32"/>
  <c r="P506" i="32" s="1"/>
  <c r="H507" i="32"/>
  <c r="P507" i="32" s="1"/>
  <c r="H508" i="32"/>
  <c r="P508" i="32" s="1"/>
  <c r="H509" i="32"/>
  <c r="P509" i="32" s="1"/>
  <c r="H510" i="32"/>
  <c r="P510" i="32" s="1"/>
  <c r="H511" i="32"/>
  <c r="P511" i="32" s="1"/>
  <c r="H512" i="32"/>
  <c r="P512" i="32" s="1"/>
  <c r="H513" i="32"/>
  <c r="P513" i="32" s="1"/>
  <c r="H514" i="32"/>
  <c r="P514" i="32" s="1"/>
  <c r="H515" i="32"/>
  <c r="P515" i="32" s="1"/>
  <c r="H516" i="32"/>
  <c r="P516" i="32" s="1"/>
  <c r="H517" i="32"/>
  <c r="P517" i="32" s="1"/>
  <c r="H518" i="32"/>
  <c r="P518" i="32" s="1"/>
  <c r="H519" i="32"/>
  <c r="P519" i="32" s="1"/>
  <c r="H520" i="32"/>
  <c r="P520" i="32" s="1"/>
  <c r="H521" i="32"/>
  <c r="P521" i="32" s="1"/>
  <c r="H522" i="32"/>
  <c r="P522" i="32" s="1"/>
  <c r="H523" i="32"/>
  <c r="P523" i="32" s="1"/>
  <c r="H524" i="32"/>
  <c r="P524" i="32" s="1"/>
  <c r="H525" i="32"/>
  <c r="P525" i="32" s="1"/>
  <c r="H526" i="32"/>
  <c r="P526" i="32" s="1"/>
  <c r="H527" i="32"/>
  <c r="P527" i="32" s="1"/>
  <c r="H528" i="32"/>
  <c r="P528" i="32" s="1"/>
  <c r="H529" i="32"/>
  <c r="P529" i="32" s="1"/>
  <c r="H530" i="32"/>
  <c r="P530" i="32" s="1"/>
  <c r="H531" i="32"/>
  <c r="P531" i="32" s="1"/>
  <c r="H532" i="32"/>
  <c r="P532" i="32" s="1"/>
  <c r="H533" i="32"/>
  <c r="P533" i="32" s="1"/>
  <c r="H534" i="32"/>
  <c r="P534" i="32" s="1"/>
  <c r="H535" i="32"/>
  <c r="P535" i="32" s="1"/>
  <c r="H536" i="32"/>
  <c r="P536" i="32" s="1"/>
  <c r="H537" i="32"/>
  <c r="P537" i="32" s="1"/>
  <c r="H538" i="32"/>
  <c r="P538" i="32" s="1"/>
  <c r="H539" i="32"/>
  <c r="P539" i="32" s="1"/>
  <c r="H540" i="32"/>
  <c r="P540" i="32" s="1"/>
  <c r="H541" i="32"/>
  <c r="P541" i="32" s="1"/>
  <c r="H542" i="32"/>
  <c r="P542" i="32" s="1"/>
  <c r="H543" i="32"/>
  <c r="P543" i="32" s="1"/>
  <c r="H544" i="32"/>
  <c r="P544" i="32" s="1"/>
  <c r="H545" i="32"/>
  <c r="P545" i="32" s="1"/>
  <c r="H546" i="32"/>
  <c r="P546" i="32" s="1"/>
  <c r="H547" i="32"/>
  <c r="P547" i="32" s="1"/>
  <c r="H548" i="32"/>
  <c r="P548" i="32" s="1"/>
  <c r="H549" i="32"/>
  <c r="P549" i="32" s="1"/>
  <c r="H550" i="32"/>
  <c r="P550" i="32" s="1"/>
  <c r="H551" i="32"/>
  <c r="P551" i="32" s="1"/>
  <c r="H552" i="32"/>
  <c r="P552" i="32" s="1"/>
  <c r="H553" i="32"/>
  <c r="P553" i="32" s="1"/>
  <c r="H554" i="32"/>
  <c r="P554" i="32" s="1"/>
  <c r="H555" i="32"/>
  <c r="P555" i="32" s="1"/>
  <c r="H556" i="32"/>
  <c r="P556" i="32" s="1"/>
  <c r="H557" i="32"/>
  <c r="P557" i="32" s="1"/>
  <c r="H558" i="32"/>
  <c r="P558" i="32" s="1"/>
  <c r="H559" i="32"/>
  <c r="P559" i="32" s="1"/>
  <c r="H560" i="32"/>
  <c r="P560" i="32" s="1"/>
  <c r="H561" i="32"/>
  <c r="P561" i="32" s="1"/>
  <c r="H568" i="32"/>
  <c r="P568" i="32" s="1"/>
  <c r="H571" i="32"/>
  <c r="P571" i="32" s="1"/>
  <c r="H572" i="32"/>
  <c r="P572" i="32" s="1"/>
  <c r="H573" i="32"/>
  <c r="P573" i="32" s="1"/>
  <c r="H574" i="32"/>
  <c r="P574" i="32" s="1"/>
  <c r="H575" i="32"/>
  <c r="P575" i="32" s="1"/>
  <c r="H576" i="32"/>
  <c r="P576" i="32" s="1"/>
  <c r="H577" i="32"/>
  <c r="P577" i="32" s="1"/>
  <c r="H578" i="32"/>
  <c r="P578" i="32" s="1"/>
  <c r="H579" i="32"/>
  <c r="P579" i="32" s="1"/>
  <c r="H580" i="32"/>
  <c r="P580" i="32" s="1"/>
  <c r="H581" i="32"/>
  <c r="P581" i="32" s="1"/>
  <c r="H582" i="32"/>
  <c r="P582" i="32" s="1"/>
  <c r="H583" i="32"/>
  <c r="P583" i="32" s="1"/>
  <c r="H584" i="32"/>
  <c r="P584" i="32" s="1"/>
  <c r="H585" i="32"/>
  <c r="P585" i="32" s="1"/>
  <c r="H586" i="32"/>
  <c r="P586" i="32" s="1"/>
  <c r="H587" i="32"/>
  <c r="P587" i="32" s="1"/>
  <c r="H588" i="32"/>
  <c r="P588" i="32" s="1"/>
  <c r="H589" i="32"/>
  <c r="P589" i="32" s="1"/>
  <c r="H590" i="32"/>
  <c r="P590" i="32" s="1"/>
  <c r="H591" i="32"/>
  <c r="P591" i="32" s="1"/>
  <c r="H592" i="32"/>
  <c r="P592" i="32" s="1"/>
  <c r="H593" i="32"/>
  <c r="P593" i="32" s="1"/>
  <c r="H594" i="32"/>
  <c r="P594" i="32" s="1"/>
  <c r="H595" i="32"/>
  <c r="P595" i="32" s="1"/>
  <c r="H596" i="32"/>
  <c r="P596" i="32" s="1"/>
  <c r="H597" i="32"/>
  <c r="P597" i="32" s="1"/>
  <c r="H598" i="32"/>
  <c r="P598" i="32" s="1"/>
  <c r="H599" i="32"/>
  <c r="P599" i="32" s="1"/>
  <c r="H600" i="32"/>
  <c r="P600" i="32" s="1"/>
  <c r="H602" i="32"/>
  <c r="P602" i="32" s="1"/>
  <c r="H603" i="32"/>
  <c r="P603" i="32" s="1"/>
  <c r="H604" i="32"/>
  <c r="P604" i="32" s="1"/>
  <c r="H605" i="32"/>
  <c r="P605" i="32" s="1"/>
  <c r="H606" i="32"/>
  <c r="P606" i="32" s="1"/>
  <c r="H607" i="32"/>
  <c r="P607" i="32" s="1"/>
  <c r="H608" i="32"/>
  <c r="P608" i="32" s="1"/>
  <c r="H609" i="32"/>
  <c r="P609" i="32" s="1"/>
  <c r="H610" i="32"/>
  <c r="P610" i="32" s="1"/>
  <c r="H611" i="32"/>
  <c r="P611" i="32" s="1"/>
  <c r="H612" i="32"/>
  <c r="P612" i="32" s="1"/>
  <c r="H613" i="32"/>
  <c r="P613" i="32" s="1"/>
  <c r="H614" i="32"/>
  <c r="P614" i="32" s="1"/>
  <c r="H615" i="32"/>
  <c r="P615" i="32" s="1"/>
  <c r="H616" i="32"/>
  <c r="P616" i="32" s="1"/>
  <c r="H617" i="32"/>
  <c r="P617" i="32" s="1"/>
  <c r="H618" i="32"/>
  <c r="P618" i="32" s="1"/>
  <c r="H619" i="32"/>
  <c r="P619" i="32" s="1"/>
  <c r="H620" i="32"/>
  <c r="P620" i="32" s="1"/>
  <c r="H621" i="32"/>
  <c r="P621" i="32" s="1"/>
  <c r="H622" i="32"/>
  <c r="P622" i="32" s="1"/>
  <c r="H623" i="32"/>
  <c r="P623" i="32" s="1"/>
  <c r="H624" i="32"/>
  <c r="P624" i="32" s="1"/>
  <c r="H625" i="32"/>
  <c r="P625" i="32" s="1"/>
  <c r="H626" i="32"/>
  <c r="P626" i="32" s="1"/>
  <c r="H627" i="32"/>
  <c r="P627" i="32" s="1"/>
  <c r="H628" i="32"/>
  <c r="P628" i="32" s="1"/>
  <c r="H629" i="32"/>
  <c r="P629" i="32" s="1"/>
  <c r="H630" i="32"/>
  <c r="P630" i="32" s="1"/>
  <c r="H631" i="32"/>
  <c r="P631" i="32" s="1"/>
  <c r="H632" i="32"/>
  <c r="P632" i="32" s="1"/>
  <c r="H633" i="32"/>
  <c r="P633" i="32" s="1"/>
  <c r="H634" i="32"/>
  <c r="P634" i="32" s="1"/>
  <c r="H636" i="32"/>
  <c r="P636" i="32" s="1"/>
  <c r="H637" i="32"/>
  <c r="P637" i="32" s="1"/>
  <c r="H638" i="32"/>
  <c r="P638" i="32" s="1"/>
  <c r="H639" i="32"/>
  <c r="P639" i="32" s="1"/>
  <c r="H640" i="32"/>
  <c r="P640" i="32" s="1"/>
  <c r="H641" i="32"/>
  <c r="P641" i="32" s="1"/>
  <c r="H642" i="32"/>
  <c r="P642" i="32" s="1"/>
  <c r="H643" i="32"/>
  <c r="P643" i="32" s="1"/>
  <c r="H644" i="32"/>
  <c r="P644" i="32" s="1"/>
  <c r="H645" i="32"/>
  <c r="P645" i="32" s="1"/>
  <c r="H646" i="32"/>
  <c r="P646" i="32" s="1"/>
  <c r="H647" i="32"/>
  <c r="P647" i="32" s="1"/>
  <c r="H648" i="32"/>
  <c r="P648" i="32" s="1"/>
  <c r="H650" i="32"/>
  <c r="P650" i="32" s="1"/>
  <c r="H651" i="32"/>
  <c r="P651" i="32" s="1"/>
  <c r="H652" i="32"/>
  <c r="P652" i="32" s="1"/>
  <c r="H653" i="32"/>
  <c r="P653" i="32" s="1"/>
  <c r="H654" i="32"/>
  <c r="P654" i="32" s="1"/>
  <c r="H655" i="32"/>
  <c r="P655" i="32" s="1"/>
  <c r="H656" i="32"/>
  <c r="P656" i="32" s="1"/>
  <c r="H657" i="32"/>
  <c r="P657" i="32" s="1"/>
  <c r="H658" i="32"/>
  <c r="P658" i="32" s="1"/>
  <c r="H659" i="32"/>
  <c r="P659" i="32" s="1"/>
  <c r="H660" i="32"/>
  <c r="P660" i="32" s="1"/>
  <c r="H661" i="32"/>
  <c r="P661" i="32" s="1"/>
  <c r="H662" i="32"/>
  <c r="P662" i="32" s="1"/>
  <c r="H663" i="32"/>
  <c r="P663" i="32" s="1"/>
  <c r="H664" i="32"/>
  <c r="P664" i="32" s="1"/>
  <c r="H665" i="32"/>
  <c r="P665" i="32" s="1"/>
  <c r="H666" i="32"/>
  <c r="P666" i="32" s="1"/>
  <c r="H667" i="32"/>
  <c r="P667" i="32" s="1"/>
  <c r="H668" i="32"/>
  <c r="P668" i="32" s="1"/>
  <c r="H669" i="32"/>
  <c r="P669" i="32" s="1"/>
  <c r="H670" i="32"/>
  <c r="P670" i="32" s="1"/>
  <c r="H671" i="32"/>
  <c r="P671" i="32" s="1"/>
  <c r="H672" i="32"/>
  <c r="P672" i="32" s="1"/>
  <c r="H673" i="32"/>
  <c r="P673" i="32" s="1"/>
  <c r="H674" i="32"/>
  <c r="P674" i="32" s="1"/>
  <c r="H675" i="32"/>
  <c r="P675" i="32" s="1"/>
  <c r="H676" i="32"/>
  <c r="P676" i="32" s="1"/>
  <c r="H677" i="32"/>
  <c r="P677" i="32" s="1"/>
  <c r="H678" i="32"/>
  <c r="P678" i="32" s="1"/>
  <c r="H679" i="32"/>
  <c r="P679" i="32" s="1"/>
  <c r="H680" i="32"/>
  <c r="P680" i="32" s="1"/>
  <c r="H681" i="32"/>
  <c r="P681" i="32" s="1"/>
  <c r="H682" i="32"/>
  <c r="P682" i="32" s="1"/>
  <c r="H683" i="32"/>
  <c r="P683" i="32" s="1"/>
  <c r="H684" i="32"/>
  <c r="P684" i="32" s="1"/>
  <c r="H686" i="32"/>
  <c r="P686" i="32" s="1"/>
  <c r="H687" i="32"/>
  <c r="P687" i="32" s="1"/>
  <c r="H688" i="32"/>
  <c r="P688" i="32" s="1"/>
  <c r="H689" i="32"/>
  <c r="P689" i="32" s="1"/>
  <c r="H690" i="32"/>
  <c r="P690" i="32" s="1"/>
  <c r="H691" i="32"/>
  <c r="P691" i="32" s="1"/>
  <c r="H692" i="32"/>
  <c r="P692" i="32" s="1"/>
  <c r="H693" i="32"/>
  <c r="P693" i="32" s="1"/>
  <c r="H695" i="32"/>
  <c r="P695" i="32" s="1"/>
  <c r="H696" i="32"/>
  <c r="P696" i="32" s="1"/>
  <c r="H697" i="32"/>
  <c r="P697" i="32" s="1"/>
  <c r="H698" i="32"/>
  <c r="P698" i="32" s="1"/>
  <c r="H699" i="32"/>
  <c r="P699" i="32" s="1"/>
  <c r="H700" i="32"/>
  <c r="P700" i="32" s="1"/>
  <c r="H701" i="32"/>
  <c r="P701" i="32" s="1"/>
  <c r="H702" i="32"/>
  <c r="P702" i="32" s="1"/>
  <c r="H703" i="32"/>
  <c r="P703" i="32" s="1"/>
  <c r="H704" i="32"/>
  <c r="P704" i="32" s="1"/>
  <c r="H705" i="32"/>
  <c r="P705" i="32" s="1"/>
  <c r="H706" i="32"/>
  <c r="P706" i="32" s="1"/>
  <c r="H707" i="32"/>
  <c r="P707" i="32" s="1"/>
  <c r="H708" i="32"/>
  <c r="P708" i="32" s="1"/>
  <c r="H709" i="32"/>
  <c r="P709" i="32" s="1"/>
  <c r="H710" i="32"/>
  <c r="P710" i="32" s="1"/>
  <c r="H711" i="32"/>
  <c r="P711" i="32" s="1"/>
  <c r="H712" i="32"/>
  <c r="P712" i="32" s="1"/>
  <c r="H713" i="32"/>
  <c r="P713" i="32" s="1"/>
  <c r="H714" i="32"/>
  <c r="P714" i="32" s="1"/>
  <c r="H715" i="32"/>
  <c r="P715" i="32" s="1"/>
  <c r="H717" i="32"/>
  <c r="P717" i="32" s="1"/>
  <c r="H718" i="32"/>
  <c r="P718" i="32" s="1"/>
  <c r="H719" i="32"/>
  <c r="P719" i="32" s="1"/>
  <c r="H720" i="32"/>
  <c r="P720" i="32" s="1"/>
  <c r="H721" i="32"/>
  <c r="P721" i="32" s="1"/>
  <c r="H722" i="32"/>
  <c r="P722" i="32" s="1"/>
  <c r="H723" i="32"/>
  <c r="P723" i="32" s="1"/>
  <c r="H724" i="32"/>
  <c r="P724" i="32" s="1"/>
  <c r="H725" i="32"/>
  <c r="P725" i="32" s="1"/>
  <c r="H726" i="32"/>
  <c r="P726" i="32" s="1"/>
  <c r="H727" i="32"/>
  <c r="P727" i="32" s="1"/>
  <c r="H728" i="32"/>
  <c r="P728" i="32" s="1"/>
  <c r="H729" i="32"/>
  <c r="P729" i="32" s="1"/>
  <c r="H730" i="32"/>
  <c r="P730" i="32" s="1"/>
  <c r="H731" i="32"/>
  <c r="P731" i="32" s="1"/>
  <c r="H732" i="32"/>
  <c r="P732" i="32" s="1"/>
  <c r="H733" i="32"/>
  <c r="P733" i="32" s="1"/>
  <c r="H734" i="32"/>
  <c r="P734" i="32" s="1"/>
  <c r="H735" i="32"/>
  <c r="P735" i="32" s="1"/>
  <c r="H737" i="32"/>
  <c r="P737" i="32" s="1"/>
  <c r="H738" i="32"/>
  <c r="P738" i="32" s="1"/>
  <c r="H739" i="32"/>
  <c r="P739" i="32" s="1"/>
  <c r="H740" i="32"/>
  <c r="P740" i="32" s="1"/>
  <c r="H741" i="32"/>
  <c r="P741" i="32" s="1"/>
  <c r="H742" i="32"/>
  <c r="P742" i="32" s="1"/>
  <c r="H743" i="32"/>
  <c r="P743" i="32" s="1"/>
  <c r="H744" i="32"/>
  <c r="P744" i="32" s="1"/>
  <c r="H745" i="32"/>
  <c r="P745" i="32" s="1"/>
  <c r="H746" i="32"/>
  <c r="P746" i="32" s="1"/>
  <c r="H747" i="32"/>
  <c r="P747" i="32" s="1"/>
  <c r="H748" i="32"/>
  <c r="P748" i="32" s="1"/>
  <c r="H749" i="32"/>
  <c r="P749" i="32" s="1"/>
  <c r="H750" i="32"/>
  <c r="P750" i="32" s="1"/>
  <c r="H752" i="32"/>
  <c r="P752" i="32" s="1"/>
  <c r="H753" i="32"/>
  <c r="P753" i="32" s="1"/>
  <c r="H754" i="32"/>
  <c r="P754" i="32" s="1"/>
  <c r="H755" i="32"/>
  <c r="P755" i="32" s="1"/>
  <c r="H756" i="32"/>
  <c r="P756" i="32" s="1"/>
  <c r="H757" i="32"/>
  <c r="P757" i="32" s="1"/>
  <c r="H758" i="32"/>
  <c r="P758" i="32" s="1"/>
  <c r="H759" i="32"/>
  <c r="P759" i="32" s="1"/>
  <c r="H760" i="32"/>
  <c r="P760" i="32" s="1"/>
  <c r="H761" i="32"/>
  <c r="P761" i="32" s="1"/>
  <c r="H762" i="32"/>
  <c r="P762" i="32" s="1"/>
  <c r="H763" i="32"/>
  <c r="P763" i="32" s="1"/>
  <c r="H764" i="32"/>
  <c r="P764" i="32" s="1"/>
  <c r="H765" i="32"/>
  <c r="P765" i="32" s="1"/>
  <c r="H766" i="32"/>
  <c r="P766" i="32" s="1"/>
  <c r="H767" i="32"/>
  <c r="P767" i="32" s="1"/>
  <c r="H768" i="32"/>
  <c r="P768" i="32" s="1"/>
  <c r="H769" i="32"/>
  <c r="P769" i="32" s="1"/>
  <c r="H770" i="32"/>
  <c r="P770" i="32" s="1"/>
  <c r="H771" i="32"/>
  <c r="P771" i="32" s="1"/>
  <c r="H772" i="32"/>
  <c r="P772" i="32" s="1"/>
  <c r="H773" i="32"/>
  <c r="P773" i="32" s="1"/>
  <c r="H774" i="32"/>
  <c r="P774" i="32" s="1"/>
  <c r="H775" i="32"/>
  <c r="P775" i="32" s="1"/>
  <c r="H776" i="32"/>
  <c r="P776" i="32" s="1"/>
  <c r="H777" i="32"/>
  <c r="P777" i="32" s="1"/>
  <c r="H778" i="32"/>
  <c r="P778" i="32" s="1"/>
  <c r="H779" i="32"/>
  <c r="P779" i="32" s="1"/>
  <c r="H780" i="32"/>
  <c r="P780" i="32" s="1"/>
  <c r="H781" i="32"/>
  <c r="P781" i="32" s="1"/>
  <c r="H782" i="32"/>
  <c r="P782" i="32" s="1"/>
  <c r="H783" i="32"/>
  <c r="P783" i="32" s="1"/>
  <c r="H784" i="32"/>
  <c r="P784" i="32" s="1"/>
  <c r="H785" i="32"/>
  <c r="P785" i="32" s="1"/>
  <c r="H786" i="32"/>
  <c r="P786" i="32" s="1"/>
  <c r="H787" i="32"/>
  <c r="P787" i="32" s="1"/>
  <c r="H788" i="32"/>
  <c r="P788" i="32" s="1"/>
  <c r="H789" i="32"/>
  <c r="P789" i="32" s="1"/>
  <c r="H790" i="32"/>
  <c r="P790" i="32" s="1"/>
  <c r="H791" i="32"/>
  <c r="P791" i="32" s="1"/>
  <c r="H792" i="32"/>
  <c r="P792" i="32" s="1"/>
  <c r="H793" i="32"/>
  <c r="P793" i="32" s="1"/>
  <c r="H794" i="32"/>
  <c r="P794" i="32" s="1"/>
  <c r="H795" i="32"/>
  <c r="P795" i="32" s="1"/>
  <c r="H796" i="32"/>
  <c r="P796" i="32" s="1"/>
  <c r="H797" i="32"/>
  <c r="P797" i="32" s="1"/>
  <c r="H798" i="32"/>
  <c r="P798" i="32" s="1"/>
  <c r="H799" i="32"/>
  <c r="P799" i="32" s="1"/>
  <c r="H800" i="32"/>
  <c r="P800" i="32" s="1"/>
  <c r="H801" i="32"/>
  <c r="P801" i="32" s="1"/>
  <c r="H802" i="32"/>
  <c r="P802" i="32" s="1"/>
  <c r="H803" i="32"/>
  <c r="P803" i="32" s="1"/>
  <c r="H804" i="32"/>
  <c r="P804" i="32" s="1"/>
  <c r="H805" i="32"/>
  <c r="P805" i="32" s="1"/>
  <c r="H806" i="32"/>
  <c r="P806" i="32" s="1"/>
  <c r="H812" i="32"/>
  <c r="P812" i="32" s="1"/>
  <c r="H815" i="32"/>
  <c r="P815" i="32" s="1"/>
  <c r="H816" i="32"/>
  <c r="P816" i="32" s="1"/>
  <c r="H817" i="32"/>
  <c r="P817" i="32" s="1"/>
  <c r="H818" i="32"/>
  <c r="P818" i="32" s="1"/>
  <c r="H819" i="32"/>
  <c r="P819" i="32" s="1"/>
  <c r="H820" i="32"/>
  <c r="P820" i="32" s="1"/>
  <c r="H3" i="32"/>
  <c r="P3" i="32" s="1"/>
  <c r="H4" i="32"/>
  <c r="P4" i="32" s="1"/>
  <c r="H5" i="32"/>
  <c r="P5" i="32" s="1"/>
  <c r="H6" i="32"/>
  <c r="P6" i="32" s="1"/>
  <c r="H7" i="32"/>
  <c r="P7" i="32" s="1"/>
  <c r="H8" i="32"/>
  <c r="P8" i="32" s="1"/>
  <c r="H9" i="32"/>
  <c r="P9" i="32" s="1"/>
  <c r="H10" i="32"/>
  <c r="P10" i="32" s="1"/>
  <c r="H11" i="32"/>
  <c r="P11" i="32" s="1"/>
  <c r="H12" i="32"/>
  <c r="P12" i="32" s="1"/>
  <c r="H13" i="32"/>
  <c r="P13" i="32" s="1"/>
  <c r="H14" i="32"/>
  <c r="P14" i="32" s="1"/>
  <c r="H15" i="32"/>
  <c r="P15" i="32" s="1"/>
  <c r="H16" i="32"/>
  <c r="P16" i="32" s="1"/>
  <c r="H17" i="32"/>
  <c r="P17" i="32" s="1"/>
  <c r="H18" i="32"/>
  <c r="P18" i="32" s="1"/>
  <c r="H2" i="32"/>
  <c r="P2" i="32" s="1"/>
  <c r="G72" i="32"/>
  <c r="H72" i="32" s="1"/>
  <c r="P72" i="32" s="1"/>
  <c r="F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F38" i="32"/>
  <c r="F39" i="32"/>
  <c r="F40" i="32"/>
  <c r="F41" i="32"/>
  <c r="F42" i="32"/>
  <c r="F43" i="32"/>
  <c r="F44" i="32"/>
  <c r="F45" i="32"/>
  <c r="F46" i="32"/>
  <c r="F47" i="32"/>
  <c r="F48" i="32"/>
  <c r="F49" i="32"/>
  <c r="F50" i="32"/>
  <c r="F51" i="32"/>
  <c r="F52" i="32"/>
  <c r="F53" i="32"/>
  <c r="F54" i="32"/>
  <c r="F55" i="32"/>
  <c r="F56" i="32"/>
  <c r="F57" i="32"/>
  <c r="F58" i="32"/>
  <c r="F59" i="32"/>
  <c r="F60" i="32"/>
  <c r="F61" i="32"/>
  <c r="F62" i="32"/>
  <c r="F63" i="32"/>
  <c r="F64" i="32"/>
  <c r="F65" i="32"/>
  <c r="F66" i="32"/>
  <c r="F67" i="32"/>
  <c r="F68" i="32"/>
  <c r="F69" i="32"/>
  <c r="F70" i="32"/>
  <c r="F71" i="32"/>
  <c r="F72" i="32"/>
  <c r="F73" i="32"/>
  <c r="F74" i="32"/>
  <c r="F75" i="32"/>
  <c r="F76" i="32"/>
  <c r="F77" i="32"/>
  <c r="F78" i="32"/>
  <c r="F79" i="32"/>
  <c r="F80" i="32"/>
  <c r="F81" i="32"/>
  <c r="F82" i="32"/>
  <c r="F83" i="32"/>
  <c r="F84" i="32"/>
  <c r="F85" i="32"/>
  <c r="F86" i="32"/>
  <c r="F87" i="32"/>
  <c r="F88" i="32"/>
  <c r="F89" i="32"/>
  <c r="F90" i="32"/>
  <c r="F91" i="32"/>
  <c r="F92" i="32"/>
  <c r="F93" i="32"/>
  <c r="F94" i="32"/>
  <c r="F95" i="32"/>
  <c r="F96" i="32"/>
  <c r="F97" i="32"/>
  <c r="F98" i="32"/>
  <c r="F99" i="32"/>
  <c r="F100" i="32"/>
  <c r="F101" i="32"/>
  <c r="F102" i="32"/>
  <c r="F103" i="32"/>
  <c r="F104" i="32"/>
  <c r="F105" i="32"/>
  <c r="F106" i="32"/>
  <c r="F107" i="32"/>
  <c r="F108" i="32"/>
  <c r="F109" i="32"/>
  <c r="F110" i="32"/>
  <c r="F111" i="32"/>
  <c r="F112" i="32"/>
  <c r="F113" i="32"/>
  <c r="F114" i="32"/>
  <c r="F115" i="32"/>
  <c r="F116" i="32"/>
  <c r="F117" i="32"/>
  <c r="F118" i="32"/>
  <c r="F119" i="32"/>
  <c r="F120" i="32"/>
  <c r="F121" i="32"/>
  <c r="F122" i="32"/>
  <c r="F123" i="32"/>
  <c r="F124" i="32"/>
  <c r="F125" i="32"/>
  <c r="F126" i="32"/>
  <c r="F127" i="32"/>
  <c r="F128" i="32"/>
  <c r="F129" i="32"/>
  <c r="F130" i="32"/>
  <c r="F131" i="32"/>
  <c r="F132" i="32"/>
  <c r="F133" i="32"/>
  <c r="F134" i="32"/>
  <c r="F135" i="32"/>
  <c r="F136" i="32"/>
  <c r="F137" i="32"/>
  <c r="F138" i="32"/>
  <c r="F139" i="32"/>
  <c r="F140" i="32"/>
  <c r="F141" i="32"/>
  <c r="F142" i="32"/>
  <c r="F143" i="32"/>
  <c r="F144" i="32"/>
  <c r="F145" i="32"/>
  <c r="F146" i="32"/>
  <c r="F147" i="32"/>
  <c r="F148" i="32"/>
  <c r="F149" i="32"/>
  <c r="F150" i="32"/>
  <c r="F151" i="32"/>
  <c r="F152" i="32"/>
  <c r="F153" i="32"/>
  <c r="F154" i="32"/>
  <c r="F155" i="32"/>
  <c r="F156" i="32"/>
  <c r="F157" i="32"/>
  <c r="F158" i="32"/>
  <c r="F159" i="32"/>
  <c r="F160" i="32"/>
  <c r="F161" i="32"/>
  <c r="F162" i="32"/>
  <c r="F163" i="32"/>
  <c r="F164" i="32"/>
  <c r="F165" i="32"/>
  <c r="F166" i="32"/>
  <c r="F167" i="32"/>
  <c r="F168" i="32"/>
  <c r="F169" i="32"/>
  <c r="F170" i="32"/>
  <c r="F171" i="32"/>
  <c r="F172" i="32"/>
  <c r="F173" i="32"/>
  <c r="F174" i="32"/>
  <c r="F175" i="32"/>
  <c r="F176" i="32"/>
  <c r="F177" i="32"/>
  <c r="F178" i="32"/>
  <c r="F179" i="32"/>
  <c r="F180" i="32"/>
  <c r="F181" i="32"/>
  <c r="F182" i="32"/>
  <c r="F183" i="32"/>
  <c r="F184" i="32"/>
  <c r="F185" i="32"/>
  <c r="F186" i="32"/>
  <c r="F187" i="32"/>
  <c r="F188" i="32"/>
  <c r="F189" i="32"/>
  <c r="F190" i="32"/>
  <c r="F191" i="32"/>
  <c r="F192" i="32"/>
  <c r="F193" i="32"/>
  <c r="F194" i="32"/>
  <c r="F195" i="32"/>
  <c r="F196" i="32"/>
  <c r="F197" i="32"/>
  <c r="F198" i="32"/>
  <c r="F199" i="32"/>
  <c r="F200" i="32"/>
  <c r="F201" i="32"/>
  <c r="F202" i="32"/>
  <c r="F203" i="32"/>
  <c r="F204" i="32"/>
  <c r="F205" i="32"/>
  <c r="F206" i="32"/>
  <c r="F207" i="32"/>
  <c r="F208" i="32"/>
  <c r="F209" i="32"/>
  <c r="F210" i="32"/>
  <c r="F211" i="32"/>
  <c r="F212" i="32"/>
  <c r="F213" i="32"/>
  <c r="F214" i="32"/>
  <c r="F215" i="32"/>
  <c r="F216" i="32"/>
  <c r="F217" i="32"/>
  <c r="F218" i="32"/>
  <c r="F219" i="32"/>
  <c r="F220" i="32"/>
  <c r="F221" i="32"/>
  <c r="F222" i="32"/>
  <c r="F223" i="32"/>
  <c r="F224" i="32"/>
  <c r="F225" i="32"/>
  <c r="F226" i="32"/>
  <c r="F227" i="32"/>
  <c r="F228" i="32"/>
  <c r="F229" i="32"/>
  <c r="F230" i="32"/>
  <c r="F231" i="32"/>
  <c r="F232" i="32"/>
  <c r="F233" i="32"/>
  <c r="F234" i="32"/>
  <c r="F235" i="32"/>
  <c r="F236" i="32"/>
  <c r="F237" i="32"/>
  <c r="F238" i="32"/>
  <c r="F239" i="32"/>
  <c r="F240" i="32"/>
  <c r="F241" i="32"/>
  <c r="F242" i="32"/>
  <c r="F243" i="32"/>
  <c r="F244" i="32"/>
  <c r="F245" i="32"/>
  <c r="F246" i="32"/>
  <c r="F247" i="32"/>
  <c r="F248" i="32"/>
  <c r="F249" i="32"/>
  <c r="F250" i="32"/>
  <c r="F251" i="32"/>
  <c r="F252" i="32"/>
  <c r="F253" i="32"/>
  <c r="F254" i="32"/>
  <c r="F255" i="32"/>
  <c r="F256" i="32"/>
  <c r="F257" i="32"/>
  <c r="F258" i="32"/>
  <c r="F259" i="32"/>
  <c r="F260" i="32"/>
  <c r="F261" i="32"/>
  <c r="F262" i="32"/>
  <c r="F263" i="32"/>
  <c r="F264" i="32"/>
  <c r="F265" i="32"/>
  <c r="F266" i="32"/>
  <c r="F267" i="32"/>
  <c r="F268" i="32"/>
  <c r="F269" i="32"/>
  <c r="F270" i="32"/>
  <c r="F271" i="32"/>
  <c r="F272" i="32"/>
  <c r="F273" i="32"/>
  <c r="F274" i="32"/>
  <c r="F275" i="32"/>
  <c r="F276" i="32"/>
  <c r="F277" i="32"/>
  <c r="F278" i="32"/>
  <c r="F279" i="32"/>
  <c r="F280" i="32"/>
  <c r="F281" i="32"/>
  <c r="F282" i="32"/>
  <c r="F283" i="32"/>
  <c r="F284" i="32"/>
  <c r="F285" i="32"/>
  <c r="F286" i="32"/>
  <c r="F287" i="32"/>
  <c r="F288" i="32"/>
  <c r="F289" i="32"/>
  <c r="F290" i="32"/>
  <c r="F291" i="32"/>
  <c r="F292" i="32"/>
  <c r="F293" i="32"/>
  <c r="F294" i="32"/>
  <c r="F295" i="32"/>
  <c r="F296" i="32"/>
  <c r="F297" i="32"/>
  <c r="F298" i="32"/>
  <c r="F299" i="32"/>
  <c r="F300" i="32"/>
  <c r="F301" i="32"/>
  <c r="F302" i="32"/>
  <c r="F303" i="32"/>
  <c r="F304" i="32"/>
  <c r="F305" i="32"/>
  <c r="F306" i="32"/>
  <c r="F307" i="32"/>
  <c r="F308" i="32"/>
  <c r="F309" i="32"/>
  <c r="F310" i="32"/>
  <c r="F311" i="32"/>
  <c r="F312" i="32"/>
  <c r="F313" i="32"/>
  <c r="F314" i="32"/>
  <c r="F315" i="32"/>
  <c r="F316" i="32"/>
  <c r="F317" i="32"/>
  <c r="F318" i="32"/>
  <c r="F319" i="32"/>
  <c r="F320" i="32"/>
  <c r="F321" i="32"/>
  <c r="F322" i="32"/>
  <c r="F323" i="32"/>
  <c r="F324" i="32"/>
  <c r="F325" i="32"/>
  <c r="F326" i="32"/>
  <c r="F327" i="32"/>
  <c r="F328" i="32"/>
  <c r="F329" i="32"/>
  <c r="F330" i="32"/>
  <c r="F331" i="32"/>
  <c r="F332" i="32"/>
  <c r="F333" i="32"/>
  <c r="F334" i="32"/>
  <c r="F335" i="32"/>
  <c r="F336" i="32"/>
  <c r="F337" i="32"/>
  <c r="F338" i="32"/>
  <c r="F339" i="32"/>
  <c r="F340" i="32"/>
  <c r="F341" i="32"/>
  <c r="F342" i="32"/>
  <c r="F343" i="32"/>
  <c r="F344" i="32"/>
  <c r="F345" i="32"/>
  <c r="F346" i="32"/>
  <c r="F347" i="32"/>
  <c r="F348" i="32"/>
  <c r="F349" i="32"/>
  <c r="F350" i="32"/>
  <c r="F351" i="32"/>
  <c r="F352" i="32"/>
  <c r="F353" i="32"/>
  <c r="F354" i="32"/>
  <c r="F355" i="32"/>
  <c r="F356" i="32"/>
  <c r="F357" i="32"/>
  <c r="F358" i="32"/>
  <c r="F359" i="32"/>
  <c r="F360" i="32"/>
  <c r="F361" i="32"/>
  <c r="F362" i="32"/>
  <c r="F363" i="32"/>
  <c r="F364" i="32"/>
  <c r="F365" i="32"/>
  <c r="F366" i="32"/>
  <c r="F367" i="32"/>
  <c r="F368" i="32"/>
  <c r="F369" i="32"/>
  <c r="F370" i="32"/>
  <c r="F371" i="32"/>
  <c r="F372" i="32"/>
  <c r="F373" i="32"/>
  <c r="F374" i="32"/>
  <c r="F375" i="32"/>
  <c r="F376" i="32"/>
  <c r="F377" i="32"/>
  <c r="F378" i="32"/>
  <c r="F379" i="32"/>
  <c r="F380" i="32"/>
  <c r="F381" i="32"/>
  <c r="F382" i="32"/>
  <c r="F383" i="32"/>
  <c r="F384" i="32"/>
  <c r="F385" i="32"/>
  <c r="F387" i="32"/>
  <c r="F388" i="32"/>
  <c r="F389" i="32"/>
  <c r="F390" i="32"/>
  <c r="F391" i="32"/>
  <c r="F392" i="32"/>
  <c r="F393" i="32"/>
  <c r="F394" i="32"/>
  <c r="F395" i="32"/>
  <c r="F396" i="32"/>
  <c r="F397" i="32"/>
  <c r="F398" i="32"/>
  <c r="F399" i="32"/>
  <c r="F400" i="32"/>
  <c r="F401" i="32"/>
  <c r="F402" i="32"/>
  <c r="F403" i="32"/>
  <c r="F404" i="32"/>
  <c r="F405" i="32"/>
  <c r="F406" i="32"/>
  <c r="F407" i="32"/>
  <c r="F408" i="32"/>
  <c r="F409" i="32"/>
  <c r="F410" i="32"/>
  <c r="F411" i="32"/>
  <c r="F412" i="32"/>
  <c r="F413" i="32"/>
  <c r="F414" i="32"/>
  <c r="F415" i="32"/>
  <c r="F416" i="32"/>
  <c r="F417" i="32"/>
  <c r="F418" i="32"/>
  <c r="F419" i="32"/>
  <c r="F420" i="32"/>
  <c r="F421" i="32"/>
  <c r="F422" i="32"/>
  <c r="F423" i="32"/>
  <c r="F424" i="32"/>
  <c r="F425" i="32"/>
  <c r="F426" i="32"/>
  <c r="F427" i="32"/>
  <c r="F428" i="32"/>
  <c r="F429" i="32"/>
  <c r="F430" i="32"/>
  <c r="F431" i="32"/>
  <c r="F432" i="32"/>
  <c r="F433" i="32"/>
  <c r="F434" i="32"/>
  <c r="F435" i="32"/>
  <c r="F436" i="32"/>
  <c r="F437" i="32"/>
  <c r="F438" i="32"/>
  <c r="F439" i="32"/>
  <c r="F440" i="32"/>
  <c r="F441" i="32"/>
  <c r="F442" i="32"/>
  <c r="F443" i="32"/>
  <c r="F444" i="32"/>
  <c r="F445" i="32"/>
  <c r="F446" i="32"/>
  <c r="F447" i="32"/>
  <c r="F448" i="32"/>
  <c r="F449" i="32"/>
  <c r="F450" i="32"/>
  <c r="F451" i="32"/>
  <c r="F452" i="32"/>
  <c r="F453" i="32"/>
  <c r="F454" i="32"/>
  <c r="F455" i="32"/>
  <c r="F456" i="32"/>
  <c r="F457" i="32"/>
  <c r="F458" i="32"/>
  <c r="F459" i="32"/>
  <c r="F460" i="32"/>
  <c r="F461" i="32"/>
  <c r="F462" i="32"/>
  <c r="F463" i="32"/>
  <c r="F464" i="32"/>
  <c r="F465" i="32"/>
  <c r="F466" i="32"/>
  <c r="F467" i="32"/>
  <c r="F468" i="32"/>
  <c r="F469" i="32"/>
  <c r="F470" i="32"/>
  <c r="F471" i="32"/>
  <c r="F472" i="32"/>
  <c r="F473" i="32"/>
  <c r="F474" i="32"/>
  <c r="F475" i="32"/>
  <c r="F476" i="32"/>
  <c r="F477" i="32"/>
  <c r="F478" i="32"/>
  <c r="F479" i="32"/>
  <c r="F480" i="32"/>
  <c r="F481" i="32"/>
  <c r="F482" i="32"/>
  <c r="F483" i="32"/>
  <c r="F484" i="32"/>
  <c r="F485" i="32"/>
  <c r="F486" i="32"/>
  <c r="F487" i="32"/>
  <c r="F488" i="32"/>
  <c r="F489" i="32"/>
  <c r="F490" i="32"/>
  <c r="F491" i="32"/>
  <c r="F492" i="32"/>
  <c r="F493" i="32"/>
  <c r="F494" i="32"/>
  <c r="F495" i="32"/>
  <c r="F496" i="32"/>
  <c r="F497" i="32"/>
  <c r="F498" i="32"/>
  <c r="F499" i="32"/>
  <c r="F500" i="32"/>
  <c r="F501" i="32"/>
  <c r="F502" i="32"/>
  <c r="F503" i="32"/>
  <c r="F504" i="32"/>
  <c r="F505" i="32"/>
  <c r="F506" i="32"/>
  <c r="F507" i="32"/>
  <c r="F508" i="32"/>
  <c r="F509" i="32"/>
  <c r="F510" i="32"/>
  <c r="F511" i="32"/>
  <c r="F512" i="32"/>
  <c r="F513" i="32"/>
  <c r="F514" i="32"/>
  <c r="F515" i="32"/>
  <c r="F516" i="32"/>
  <c r="F517" i="32"/>
  <c r="F518" i="32"/>
  <c r="F519" i="32"/>
  <c r="F520" i="32"/>
  <c r="F521" i="32"/>
  <c r="F522" i="32"/>
  <c r="F523" i="32"/>
  <c r="F524" i="32"/>
  <c r="F525" i="32"/>
  <c r="F526" i="32"/>
  <c r="F527" i="32"/>
  <c r="F528" i="32"/>
  <c r="F529" i="32"/>
  <c r="F530" i="32"/>
  <c r="F531" i="32"/>
  <c r="F532" i="32"/>
  <c r="F533" i="32"/>
  <c r="F534" i="32"/>
  <c r="F535" i="32"/>
  <c r="F536" i="32"/>
  <c r="F537" i="32"/>
  <c r="F538" i="32"/>
  <c r="F539" i="32"/>
  <c r="F540" i="32"/>
  <c r="F541" i="32"/>
  <c r="F542" i="32"/>
  <c r="F543" i="32"/>
  <c r="F544" i="32"/>
  <c r="F545" i="32"/>
  <c r="F546" i="32"/>
  <c r="F547" i="32"/>
  <c r="F548" i="32"/>
  <c r="F549" i="32"/>
  <c r="F550" i="32"/>
  <c r="F551" i="32"/>
  <c r="F552" i="32"/>
  <c r="F553" i="32"/>
  <c r="F554" i="32"/>
  <c r="F555" i="32"/>
  <c r="F556" i="32"/>
  <c r="F557" i="32"/>
  <c r="F558" i="32"/>
  <c r="F559" i="32"/>
  <c r="F560" i="32"/>
  <c r="F561" i="32"/>
  <c r="F563" i="32"/>
  <c r="F568" i="32"/>
  <c r="F571" i="32"/>
  <c r="F572" i="32"/>
  <c r="F573" i="32"/>
  <c r="F574" i="32"/>
  <c r="F575" i="32"/>
  <c r="F576" i="32"/>
  <c r="F577" i="32"/>
  <c r="F578" i="32"/>
  <c r="F579" i="32"/>
  <c r="F580" i="32"/>
  <c r="F581" i="32"/>
  <c r="F582" i="32"/>
  <c r="F583" i="32"/>
  <c r="F584" i="32"/>
  <c r="F585" i="32"/>
  <c r="F586" i="32"/>
  <c r="F587" i="32"/>
  <c r="F588" i="32"/>
  <c r="F589" i="32"/>
  <c r="F590" i="32"/>
  <c r="F591" i="32"/>
  <c r="F592" i="32"/>
  <c r="F593" i="32"/>
  <c r="F594" i="32"/>
  <c r="F595" i="32"/>
  <c r="F596" i="32"/>
  <c r="F597" i="32"/>
  <c r="F598" i="32"/>
  <c r="F599" i="32"/>
  <c r="F600" i="32"/>
  <c r="F601" i="32"/>
  <c r="F602" i="32"/>
  <c r="F603" i="32"/>
  <c r="F604" i="32"/>
  <c r="F605" i="32"/>
  <c r="F606" i="32"/>
  <c r="F607" i="32"/>
  <c r="F608" i="32"/>
  <c r="F609" i="32"/>
  <c r="F610" i="32"/>
  <c r="F611" i="32"/>
  <c r="F612" i="32"/>
  <c r="F613" i="32"/>
  <c r="F614" i="32"/>
  <c r="F615" i="32"/>
  <c r="F616" i="32"/>
  <c r="F617" i="32"/>
  <c r="F618" i="32"/>
  <c r="F619" i="32"/>
  <c r="F620" i="32"/>
  <c r="F621" i="32"/>
  <c r="F622" i="32"/>
  <c r="F623" i="32"/>
  <c r="F624" i="32"/>
  <c r="F625" i="32"/>
  <c r="F626" i="32"/>
  <c r="F627" i="32"/>
  <c r="F628" i="32"/>
  <c r="F629" i="32"/>
  <c r="F630" i="32"/>
  <c r="F631" i="32"/>
  <c r="F632" i="32"/>
  <c r="F633" i="32"/>
  <c r="F634" i="32"/>
  <c r="F635" i="32"/>
  <c r="F636" i="32"/>
  <c r="F637" i="32"/>
  <c r="F638" i="32"/>
  <c r="F639" i="32"/>
  <c r="F640" i="32"/>
  <c r="F641" i="32"/>
  <c r="F642" i="32"/>
  <c r="F643" i="32"/>
  <c r="F644" i="32"/>
  <c r="F645" i="32"/>
  <c r="F646" i="32"/>
  <c r="F647" i="32"/>
  <c r="F648" i="32"/>
  <c r="F649" i="32"/>
  <c r="F650" i="32"/>
  <c r="F651" i="32"/>
  <c r="F652" i="32"/>
  <c r="F653" i="32"/>
  <c r="F654" i="32"/>
  <c r="F655" i="32"/>
  <c r="F656" i="32"/>
  <c r="F657" i="32"/>
  <c r="F658" i="32"/>
  <c r="F659" i="32"/>
  <c r="F660" i="32"/>
  <c r="F661" i="32"/>
  <c r="F662" i="32"/>
  <c r="F663" i="32"/>
  <c r="F664" i="32"/>
  <c r="F665" i="32"/>
  <c r="F666" i="32"/>
  <c r="F667" i="32"/>
  <c r="F668" i="32"/>
  <c r="F669" i="32"/>
  <c r="F670" i="32"/>
  <c r="F671" i="32"/>
  <c r="F672" i="32"/>
  <c r="F673" i="32"/>
  <c r="F674" i="32"/>
  <c r="F675" i="32"/>
  <c r="F676" i="32"/>
  <c r="F677" i="32"/>
  <c r="F678" i="32"/>
  <c r="F679" i="32"/>
  <c r="F680" i="32"/>
  <c r="F681" i="32"/>
  <c r="F682" i="32"/>
  <c r="F683" i="32"/>
  <c r="F684" i="32"/>
  <c r="F685" i="32"/>
  <c r="F686" i="32"/>
  <c r="F687" i="32"/>
  <c r="F688" i="32"/>
  <c r="F689" i="32"/>
  <c r="F690" i="32"/>
  <c r="F691" i="32"/>
  <c r="F692" i="32"/>
  <c r="F693" i="32"/>
  <c r="F694" i="32"/>
  <c r="F695" i="32"/>
  <c r="F696" i="32"/>
  <c r="F697" i="32"/>
  <c r="F698" i="32"/>
  <c r="F699" i="32"/>
  <c r="F700" i="32"/>
  <c r="F701" i="32"/>
  <c r="F702" i="32"/>
  <c r="F703" i="32"/>
  <c r="F704" i="32"/>
  <c r="F705" i="32"/>
  <c r="F706" i="32"/>
  <c r="F707" i="32"/>
  <c r="F708" i="32"/>
  <c r="F709" i="32"/>
  <c r="F710" i="32"/>
  <c r="F711" i="32"/>
  <c r="F712" i="32"/>
  <c r="F713" i="32"/>
  <c r="F714" i="32"/>
  <c r="F715" i="32"/>
  <c r="F717" i="32"/>
  <c r="F718" i="32"/>
  <c r="F719" i="32"/>
  <c r="F720" i="32"/>
  <c r="F721" i="32"/>
  <c r="F722" i="32"/>
  <c r="F723" i="32"/>
  <c r="F724" i="32"/>
  <c r="F725" i="32"/>
  <c r="F726" i="32"/>
  <c r="F727" i="32"/>
  <c r="F728" i="32"/>
  <c r="F729" i="32"/>
  <c r="F730" i="32"/>
  <c r="F731" i="32"/>
  <c r="F732" i="32"/>
  <c r="F733" i="32"/>
  <c r="F734" i="32"/>
  <c r="F735" i="32"/>
  <c r="F736" i="32"/>
  <c r="F737" i="32"/>
  <c r="F738" i="32"/>
  <c r="F739" i="32"/>
  <c r="F740" i="32"/>
  <c r="F741" i="32"/>
  <c r="F742" i="32"/>
  <c r="F743" i="32"/>
  <c r="F744" i="32"/>
  <c r="F745" i="32"/>
  <c r="F746" i="32"/>
  <c r="F747" i="32"/>
  <c r="F748" i="32"/>
  <c r="F749" i="32"/>
  <c r="F750" i="32"/>
  <c r="F751" i="32"/>
  <c r="F752" i="32"/>
  <c r="F753" i="32"/>
  <c r="F754" i="32"/>
  <c r="F755" i="32"/>
  <c r="F756" i="32"/>
  <c r="F757" i="32"/>
  <c r="F758" i="32"/>
  <c r="F759" i="32"/>
  <c r="F760" i="32"/>
  <c r="F761" i="32"/>
  <c r="F762" i="32"/>
  <c r="F763" i="32"/>
  <c r="F764" i="32"/>
  <c r="F765" i="32"/>
  <c r="F766" i="32"/>
  <c r="F767" i="32"/>
  <c r="F768" i="32"/>
  <c r="F769" i="32"/>
  <c r="F770" i="32"/>
  <c r="F771" i="32"/>
  <c r="F772" i="32"/>
  <c r="F773" i="32"/>
  <c r="F774" i="32"/>
  <c r="F775" i="32"/>
  <c r="F776" i="32"/>
  <c r="F777" i="32"/>
  <c r="F778" i="32"/>
  <c r="F779" i="32"/>
  <c r="F780" i="32"/>
  <c r="F781" i="32"/>
  <c r="F782" i="32"/>
  <c r="F783" i="32"/>
  <c r="F784" i="32"/>
  <c r="F785" i="32"/>
  <c r="F786" i="32"/>
  <c r="F787" i="32"/>
  <c r="F788" i="32"/>
  <c r="F789" i="32"/>
  <c r="F790" i="32"/>
  <c r="F791" i="32"/>
  <c r="F792" i="32"/>
  <c r="F793" i="32"/>
  <c r="F794" i="32"/>
  <c r="F795" i="32"/>
  <c r="F796" i="32"/>
  <c r="F797" i="32"/>
  <c r="F798" i="32"/>
  <c r="F799" i="32"/>
  <c r="F800" i="32"/>
  <c r="F801" i="32"/>
  <c r="F802" i="32"/>
  <c r="F803" i="32"/>
  <c r="F804" i="32"/>
  <c r="F805" i="32"/>
  <c r="F806" i="32"/>
  <c r="F807" i="32"/>
  <c r="F808" i="32"/>
  <c r="F809" i="32"/>
  <c r="F810" i="32"/>
  <c r="F811" i="32"/>
  <c r="F812" i="32"/>
  <c r="F813" i="32"/>
  <c r="F814" i="32"/>
  <c r="F815" i="32"/>
  <c r="F816" i="32"/>
  <c r="F817" i="32"/>
  <c r="F818" i="32"/>
  <c r="F819" i="32"/>
  <c r="F820" i="32"/>
  <c r="F2"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38" i="32"/>
  <c r="E39" i="32"/>
  <c r="E40" i="32"/>
  <c r="E41" i="32"/>
  <c r="E42" i="32"/>
  <c r="E43" i="32"/>
  <c r="E44" i="32"/>
  <c r="E45" i="32"/>
  <c r="E46" i="32"/>
  <c r="E47" i="32"/>
  <c r="E48" i="32"/>
  <c r="E49" i="32"/>
  <c r="E50" i="32"/>
  <c r="E51" i="32"/>
  <c r="E52" i="32"/>
  <c r="E53" i="32"/>
  <c r="E54" i="32"/>
  <c r="E55" i="32"/>
  <c r="E56" i="32"/>
  <c r="E57" i="32"/>
  <c r="E58" i="32"/>
  <c r="E59" i="32"/>
  <c r="E60" i="32"/>
  <c r="E61" i="32"/>
  <c r="E62" i="32"/>
  <c r="E63" i="32"/>
  <c r="E64" i="32"/>
  <c r="E65" i="32"/>
  <c r="E66" i="32"/>
  <c r="E67" i="32"/>
  <c r="E68" i="32"/>
  <c r="E69" i="32"/>
  <c r="E70" i="32"/>
  <c r="E71" i="32"/>
  <c r="E72" i="32"/>
  <c r="E73" i="32"/>
  <c r="E74" i="32"/>
  <c r="E75" i="32"/>
  <c r="E76" i="32"/>
  <c r="E77" i="32"/>
  <c r="E78" i="32"/>
  <c r="E79" i="32"/>
  <c r="E80" i="32"/>
  <c r="E81" i="32"/>
  <c r="E82" i="32"/>
  <c r="E83" i="32"/>
  <c r="E84" i="32"/>
  <c r="E85" i="32"/>
  <c r="E86" i="32"/>
  <c r="E87" i="32"/>
  <c r="E88" i="32"/>
  <c r="E89" i="32"/>
  <c r="E90" i="32"/>
  <c r="E91" i="32"/>
  <c r="E92" i="32"/>
  <c r="E93" i="32"/>
  <c r="E94" i="32"/>
  <c r="E95" i="32"/>
  <c r="E96" i="32"/>
  <c r="E97" i="32"/>
  <c r="E98" i="32"/>
  <c r="E99" i="32"/>
  <c r="E100" i="32"/>
  <c r="E101" i="32"/>
  <c r="E102" i="32"/>
  <c r="E103" i="32"/>
  <c r="E104" i="32"/>
  <c r="E105" i="32"/>
  <c r="E106" i="32"/>
  <c r="E107" i="32"/>
  <c r="E108" i="32"/>
  <c r="E109" i="32"/>
  <c r="E110" i="32"/>
  <c r="E111" i="32"/>
  <c r="E112" i="32"/>
  <c r="E113" i="32"/>
  <c r="E114" i="32"/>
  <c r="E115" i="32"/>
  <c r="E116" i="32"/>
  <c r="E117" i="32"/>
  <c r="E118" i="32"/>
  <c r="E119" i="32"/>
  <c r="E120" i="32"/>
  <c r="E121" i="32"/>
  <c r="E122" i="32"/>
  <c r="E123" i="32"/>
  <c r="E124" i="32"/>
  <c r="E125" i="32"/>
  <c r="E126" i="32"/>
  <c r="E127" i="32"/>
  <c r="E128" i="32"/>
  <c r="E129" i="32"/>
  <c r="E130" i="32"/>
  <c r="E131" i="32"/>
  <c r="E132" i="32"/>
  <c r="E133" i="32"/>
  <c r="E134" i="32"/>
  <c r="E135" i="32"/>
  <c r="E136" i="32"/>
  <c r="E137" i="32"/>
  <c r="E138" i="32"/>
  <c r="E139" i="32"/>
  <c r="E140" i="32"/>
  <c r="E141" i="32"/>
  <c r="E142" i="32"/>
  <c r="E143" i="32"/>
  <c r="E144" i="32"/>
  <c r="E145" i="32"/>
  <c r="E146" i="32"/>
  <c r="E147" i="32"/>
  <c r="E148" i="32"/>
  <c r="E149" i="32"/>
  <c r="E150" i="32"/>
  <c r="E151" i="32"/>
  <c r="E152" i="32"/>
  <c r="E153" i="32"/>
  <c r="E154" i="32"/>
  <c r="E155" i="32"/>
  <c r="E156" i="32"/>
  <c r="E157" i="32"/>
  <c r="E158" i="32"/>
  <c r="E159" i="32"/>
  <c r="E160" i="32"/>
  <c r="E161" i="32"/>
  <c r="E162" i="32"/>
  <c r="E163" i="32"/>
  <c r="E164" i="32"/>
  <c r="E165" i="32"/>
  <c r="E166" i="32"/>
  <c r="E167" i="32"/>
  <c r="E168" i="32"/>
  <c r="E169" i="32"/>
  <c r="E170" i="32"/>
  <c r="E171" i="32"/>
  <c r="E172" i="32"/>
  <c r="E173" i="32"/>
  <c r="E174" i="32"/>
  <c r="E175" i="32"/>
  <c r="E176" i="32"/>
  <c r="E177" i="32"/>
  <c r="E178" i="32"/>
  <c r="E179" i="32"/>
  <c r="E180" i="32"/>
  <c r="E181" i="32"/>
  <c r="E182" i="32"/>
  <c r="E183" i="32"/>
  <c r="E184" i="32"/>
  <c r="E185" i="32"/>
  <c r="E186" i="32"/>
  <c r="E187" i="32"/>
  <c r="E188" i="32"/>
  <c r="E189" i="32"/>
  <c r="E190" i="32"/>
  <c r="E191" i="32"/>
  <c r="E192" i="32"/>
  <c r="E193" i="32"/>
  <c r="E194" i="32"/>
  <c r="E195" i="32"/>
  <c r="E196" i="32"/>
  <c r="E197" i="32"/>
  <c r="E198" i="32"/>
  <c r="E199" i="32"/>
  <c r="E200" i="32"/>
  <c r="E201" i="32"/>
  <c r="E202" i="32"/>
  <c r="E203" i="32"/>
  <c r="E204" i="32"/>
  <c r="E205" i="32"/>
  <c r="E206" i="32"/>
  <c r="E207" i="32"/>
  <c r="E208" i="32"/>
  <c r="E209" i="32"/>
  <c r="E210" i="32"/>
  <c r="E211" i="32"/>
  <c r="E212" i="32"/>
  <c r="E213" i="32"/>
  <c r="E214" i="32"/>
  <c r="E215" i="32"/>
  <c r="E216" i="32"/>
  <c r="E217" i="32"/>
  <c r="E218" i="32"/>
  <c r="E219" i="32"/>
  <c r="E220" i="32"/>
  <c r="E221" i="32"/>
  <c r="E222" i="32"/>
  <c r="E223" i="32"/>
  <c r="E224" i="32"/>
  <c r="E225" i="32"/>
  <c r="E226" i="32"/>
  <c r="E227" i="32"/>
  <c r="E228" i="32"/>
  <c r="E229" i="32"/>
  <c r="E230" i="32"/>
  <c r="E231" i="32"/>
  <c r="E232" i="32"/>
  <c r="E233" i="32"/>
  <c r="E234" i="32"/>
  <c r="E235" i="32"/>
  <c r="E236" i="32"/>
  <c r="E237" i="32"/>
  <c r="E238" i="32"/>
  <c r="E239" i="32"/>
  <c r="E240" i="32"/>
  <c r="E241" i="32"/>
  <c r="E242" i="32"/>
  <c r="E243" i="32"/>
  <c r="E244" i="32"/>
  <c r="E245" i="32"/>
  <c r="E246" i="32"/>
  <c r="E247" i="32"/>
  <c r="E248" i="32"/>
  <c r="E249" i="32"/>
  <c r="E250" i="32"/>
  <c r="E251" i="32"/>
  <c r="E252" i="32"/>
  <c r="E253" i="32"/>
  <c r="E254" i="32"/>
  <c r="E255" i="32"/>
  <c r="E256" i="32"/>
  <c r="E257" i="32"/>
  <c r="E258" i="32"/>
  <c r="E259" i="32"/>
  <c r="E260" i="32"/>
  <c r="E261" i="32"/>
  <c r="E262" i="32"/>
  <c r="E263" i="32"/>
  <c r="E264" i="32"/>
  <c r="E265" i="32"/>
  <c r="E266" i="32"/>
  <c r="E267" i="32"/>
  <c r="E268" i="32"/>
  <c r="E269" i="32"/>
  <c r="E270" i="32"/>
  <c r="E271" i="32"/>
  <c r="E272" i="32"/>
  <c r="E273" i="32"/>
  <c r="E274" i="32"/>
  <c r="E275" i="32"/>
  <c r="E276" i="32"/>
  <c r="E277" i="32"/>
  <c r="E278" i="32"/>
  <c r="E279" i="32"/>
  <c r="E280" i="32"/>
  <c r="E281" i="32"/>
  <c r="E282" i="32"/>
  <c r="E283" i="32"/>
  <c r="E284" i="32"/>
  <c r="E285" i="32"/>
  <c r="E286" i="32"/>
  <c r="E287" i="32"/>
  <c r="E288" i="32"/>
  <c r="E289" i="32"/>
  <c r="E290" i="32"/>
  <c r="E291" i="32"/>
  <c r="E292" i="32"/>
  <c r="E293" i="32"/>
  <c r="E294" i="32"/>
  <c r="E295" i="32"/>
  <c r="E296" i="32"/>
  <c r="E297" i="32"/>
  <c r="E298" i="32"/>
  <c r="E299" i="32"/>
  <c r="E300" i="32"/>
  <c r="E301" i="32"/>
  <c r="E302" i="32"/>
  <c r="E303" i="32"/>
  <c r="E304" i="32"/>
  <c r="E305" i="32"/>
  <c r="E306" i="32"/>
  <c r="E307" i="32"/>
  <c r="E308" i="32"/>
  <c r="E309" i="32"/>
  <c r="E310" i="32"/>
  <c r="E311" i="32"/>
  <c r="E312" i="32"/>
  <c r="E313" i="32"/>
  <c r="E314" i="32"/>
  <c r="E315" i="32"/>
  <c r="E316" i="32"/>
  <c r="E317" i="32"/>
  <c r="E318" i="32"/>
  <c r="E319" i="32"/>
  <c r="E320" i="32"/>
  <c r="E321" i="32"/>
  <c r="E322" i="32"/>
  <c r="E323" i="32"/>
  <c r="E324" i="32"/>
  <c r="E325" i="32"/>
  <c r="E326" i="32"/>
  <c r="E327" i="32"/>
  <c r="E328" i="32"/>
  <c r="E329" i="32"/>
  <c r="E330" i="32"/>
  <c r="E331" i="32"/>
  <c r="E332" i="32"/>
  <c r="E333" i="32"/>
  <c r="E334" i="32"/>
  <c r="E335" i="32"/>
  <c r="E336" i="32"/>
  <c r="E337" i="32"/>
  <c r="E338" i="32"/>
  <c r="E339" i="32"/>
  <c r="E340" i="32"/>
  <c r="E341" i="32"/>
  <c r="E342" i="32"/>
  <c r="E343" i="32"/>
  <c r="E344" i="32"/>
  <c r="E345" i="32"/>
  <c r="E346" i="32"/>
  <c r="E347" i="32"/>
  <c r="E348" i="32"/>
  <c r="E349" i="32"/>
  <c r="E350" i="32"/>
  <c r="E351" i="32"/>
  <c r="E352" i="32"/>
  <c r="E353" i="32"/>
  <c r="E354" i="32"/>
  <c r="E355" i="32"/>
  <c r="E356" i="32"/>
  <c r="E357" i="32"/>
  <c r="E358" i="32"/>
  <c r="E359" i="32"/>
  <c r="E360" i="32"/>
  <c r="E361" i="32"/>
  <c r="E362" i="32"/>
  <c r="E363" i="32"/>
  <c r="E364" i="32"/>
  <c r="E365" i="32"/>
  <c r="E366" i="32"/>
  <c r="E367" i="32"/>
  <c r="E368" i="32"/>
  <c r="E369" i="32"/>
  <c r="E370" i="32"/>
  <c r="E371" i="32"/>
  <c r="E372" i="32"/>
  <c r="E373" i="32"/>
  <c r="E374" i="32"/>
  <c r="E375" i="32"/>
  <c r="E376" i="32"/>
  <c r="E377" i="32"/>
  <c r="E378" i="32"/>
  <c r="E379" i="32"/>
  <c r="E380" i="32"/>
  <c r="E381" i="32"/>
  <c r="E382" i="32"/>
  <c r="E383" i="32"/>
  <c r="E384" i="32"/>
  <c r="E385" i="32"/>
  <c r="E387" i="32"/>
  <c r="E388" i="32"/>
  <c r="E389" i="32"/>
  <c r="E390" i="32"/>
  <c r="E391" i="32"/>
  <c r="E392" i="32"/>
  <c r="E393" i="32"/>
  <c r="E394" i="32"/>
  <c r="E395" i="32"/>
  <c r="E396" i="32"/>
  <c r="E397" i="32"/>
  <c r="E398" i="32"/>
  <c r="E399" i="32"/>
  <c r="E400" i="32"/>
  <c r="E401" i="32"/>
  <c r="E402" i="32"/>
  <c r="E403" i="32"/>
  <c r="E404" i="32"/>
  <c r="E405" i="32"/>
  <c r="E406" i="32"/>
  <c r="E407" i="32"/>
  <c r="E408" i="32"/>
  <c r="E409" i="32"/>
  <c r="E410" i="32"/>
  <c r="E411" i="32"/>
  <c r="E412" i="32"/>
  <c r="E413" i="32"/>
  <c r="E414" i="32"/>
  <c r="E415" i="32"/>
  <c r="E416" i="32"/>
  <c r="E417" i="32"/>
  <c r="E418" i="32"/>
  <c r="E419" i="32"/>
  <c r="E420" i="32"/>
  <c r="E421" i="32"/>
  <c r="E422" i="32"/>
  <c r="E423" i="32"/>
  <c r="E424" i="32"/>
  <c r="E425" i="32"/>
  <c r="E426" i="32"/>
  <c r="E427" i="32"/>
  <c r="E428" i="32"/>
  <c r="E429" i="32"/>
  <c r="E430" i="32"/>
  <c r="E431" i="32"/>
  <c r="E432" i="32"/>
  <c r="E433" i="32"/>
  <c r="E434" i="32"/>
  <c r="E435" i="32"/>
  <c r="E436" i="32"/>
  <c r="E437" i="32"/>
  <c r="E438" i="32"/>
  <c r="E439" i="32"/>
  <c r="E440" i="32"/>
  <c r="E441" i="32"/>
  <c r="E442" i="32"/>
  <c r="E443" i="32"/>
  <c r="E444" i="32"/>
  <c r="E445" i="32"/>
  <c r="E446" i="32"/>
  <c r="E447" i="32"/>
  <c r="E448" i="32"/>
  <c r="E449" i="32"/>
  <c r="E450" i="32"/>
  <c r="E451" i="32"/>
  <c r="E452" i="32"/>
  <c r="E453" i="32"/>
  <c r="E454" i="32"/>
  <c r="E455" i="32"/>
  <c r="E456" i="32"/>
  <c r="E457" i="32"/>
  <c r="E458" i="32"/>
  <c r="E459" i="32"/>
  <c r="E460" i="32"/>
  <c r="E461" i="32"/>
  <c r="E462" i="32"/>
  <c r="E463" i="32"/>
  <c r="E464" i="32"/>
  <c r="E465" i="32"/>
  <c r="E466" i="32"/>
  <c r="E467" i="32"/>
  <c r="E468" i="32"/>
  <c r="E469" i="32"/>
  <c r="E470" i="32"/>
  <c r="E471" i="32"/>
  <c r="E472" i="32"/>
  <c r="E473" i="32"/>
  <c r="E474" i="32"/>
  <c r="E475" i="32"/>
  <c r="E476" i="32"/>
  <c r="E477" i="32"/>
  <c r="E478" i="32"/>
  <c r="E479" i="32"/>
  <c r="E480" i="32"/>
  <c r="E481" i="32"/>
  <c r="E482" i="32"/>
  <c r="E483" i="32"/>
  <c r="E484" i="32"/>
  <c r="E485" i="32"/>
  <c r="E486" i="32"/>
  <c r="E487" i="32"/>
  <c r="E488" i="32"/>
  <c r="E489" i="32"/>
  <c r="E490" i="32"/>
  <c r="E491" i="32"/>
  <c r="E492" i="32"/>
  <c r="E493" i="32"/>
  <c r="E494" i="32"/>
  <c r="E495" i="32"/>
  <c r="E496" i="32"/>
  <c r="E497" i="32"/>
  <c r="E498" i="32"/>
  <c r="E499" i="32"/>
  <c r="E500" i="32"/>
  <c r="E501" i="32"/>
  <c r="E502" i="32"/>
  <c r="E503" i="32"/>
  <c r="E504" i="32"/>
  <c r="E505" i="32"/>
  <c r="E506" i="32"/>
  <c r="E507" i="32"/>
  <c r="E508" i="32"/>
  <c r="E509" i="32"/>
  <c r="E510" i="32"/>
  <c r="E511" i="32"/>
  <c r="E512" i="32"/>
  <c r="E513" i="32"/>
  <c r="E514" i="32"/>
  <c r="E515" i="32"/>
  <c r="E516" i="32"/>
  <c r="E517" i="32"/>
  <c r="E518" i="32"/>
  <c r="E519" i="32"/>
  <c r="E520" i="32"/>
  <c r="E521" i="32"/>
  <c r="E522" i="32"/>
  <c r="E523" i="32"/>
  <c r="E524" i="32"/>
  <c r="E525" i="32"/>
  <c r="E526" i="32"/>
  <c r="E527" i="32"/>
  <c r="E528" i="32"/>
  <c r="E529" i="32"/>
  <c r="E530" i="32"/>
  <c r="E531" i="32"/>
  <c r="E532" i="32"/>
  <c r="E533" i="32"/>
  <c r="E534" i="32"/>
  <c r="E535" i="32"/>
  <c r="E536" i="32"/>
  <c r="E537" i="32"/>
  <c r="E538" i="32"/>
  <c r="E539" i="32"/>
  <c r="E540" i="32"/>
  <c r="E541" i="32"/>
  <c r="E542" i="32"/>
  <c r="E543" i="32"/>
  <c r="E544" i="32"/>
  <c r="E545" i="32"/>
  <c r="E546" i="32"/>
  <c r="E547" i="32"/>
  <c r="E548" i="32"/>
  <c r="E549" i="32"/>
  <c r="E550" i="32"/>
  <c r="E551" i="32"/>
  <c r="E552" i="32"/>
  <c r="E553" i="32"/>
  <c r="E554" i="32"/>
  <c r="E555" i="32"/>
  <c r="E556" i="32"/>
  <c r="E557" i="32"/>
  <c r="E558" i="32"/>
  <c r="E559" i="32"/>
  <c r="E560" i="32"/>
  <c r="E561" i="32"/>
  <c r="E562" i="32"/>
  <c r="F562" i="32" s="1"/>
  <c r="E563" i="32"/>
  <c r="E564" i="32"/>
  <c r="F564" i="32" s="1"/>
  <c r="E565" i="32"/>
  <c r="F565" i="32" s="1"/>
  <c r="E566" i="32"/>
  <c r="F566" i="32" s="1"/>
  <c r="E567" i="32"/>
  <c r="F567" i="32" s="1"/>
  <c r="E568" i="32"/>
  <c r="E569" i="32"/>
  <c r="F569" i="32" s="1"/>
  <c r="E570" i="32"/>
  <c r="F570" i="32" s="1"/>
  <c r="E571" i="32"/>
  <c r="E572" i="32"/>
  <c r="E573" i="32"/>
  <c r="E574" i="32"/>
  <c r="E575" i="32"/>
  <c r="E576" i="32"/>
  <c r="E577" i="32"/>
  <c r="E578" i="32"/>
  <c r="E579" i="32"/>
  <c r="E580" i="32"/>
  <c r="E581" i="32"/>
  <c r="E582" i="32"/>
  <c r="E583" i="32"/>
  <c r="E584" i="32"/>
  <c r="E585" i="32"/>
  <c r="E586" i="32"/>
  <c r="E587" i="32"/>
  <c r="E588" i="32"/>
  <c r="E589" i="32"/>
  <c r="E590" i="32"/>
  <c r="E591" i="32"/>
  <c r="E592" i="32"/>
  <c r="E593" i="32"/>
  <c r="E594" i="32"/>
  <c r="E595" i="32"/>
  <c r="E596" i="32"/>
  <c r="E597" i="32"/>
  <c r="E598" i="32"/>
  <c r="E599" i="32"/>
  <c r="E600" i="32"/>
  <c r="E601" i="32"/>
  <c r="E602" i="32"/>
  <c r="E603" i="32"/>
  <c r="E604" i="32"/>
  <c r="E605" i="32"/>
  <c r="E606" i="32"/>
  <c r="E607" i="32"/>
  <c r="E608" i="32"/>
  <c r="E609" i="32"/>
  <c r="E610" i="32"/>
  <c r="E611" i="32"/>
  <c r="E612" i="32"/>
  <c r="E613" i="32"/>
  <c r="E614" i="32"/>
  <c r="E615" i="32"/>
  <c r="E616" i="32"/>
  <c r="E617" i="32"/>
  <c r="E618" i="32"/>
  <c r="E619" i="32"/>
  <c r="E620" i="32"/>
  <c r="E621" i="32"/>
  <c r="E622" i="32"/>
  <c r="E623" i="32"/>
  <c r="E624" i="32"/>
  <c r="E625" i="32"/>
  <c r="E626" i="32"/>
  <c r="E627" i="32"/>
  <c r="E628" i="32"/>
  <c r="E629" i="32"/>
  <c r="E630" i="32"/>
  <c r="E631" i="32"/>
  <c r="E632" i="32"/>
  <c r="E633" i="32"/>
  <c r="E634" i="32"/>
  <c r="E635" i="32"/>
  <c r="E636" i="32"/>
  <c r="E637" i="32"/>
  <c r="E638" i="32"/>
  <c r="E639" i="32"/>
  <c r="E640" i="32"/>
  <c r="E641" i="32"/>
  <c r="E642" i="32"/>
  <c r="E643" i="32"/>
  <c r="E644" i="32"/>
  <c r="E645" i="32"/>
  <c r="E646" i="32"/>
  <c r="E647" i="32"/>
  <c r="E648" i="32"/>
  <c r="E649" i="32"/>
  <c r="E650" i="32"/>
  <c r="E651" i="32"/>
  <c r="E652" i="32"/>
  <c r="E653" i="32"/>
  <c r="E654" i="32"/>
  <c r="E655" i="32"/>
  <c r="E656" i="32"/>
  <c r="E657" i="32"/>
  <c r="E658" i="32"/>
  <c r="E659" i="32"/>
  <c r="E660" i="32"/>
  <c r="E661" i="32"/>
  <c r="E662" i="32"/>
  <c r="E663" i="32"/>
  <c r="E664" i="32"/>
  <c r="E665" i="32"/>
  <c r="E666" i="32"/>
  <c r="E667" i="32"/>
  <c r="E668" i="32"/>
  <c r="E669" i="32"/>
  <c r="E670" i="32"/>
  <c r="E671" i="32"/>
  <c r="E672" i="32"/>
  <c r="E673" i="32"/>
  <c r="E674" i="32"/>
  <c r="E675" i="32"/>
  <c r="E676" i="32"/>
  <c r="E677" i="32"/>
  <c r="E678" i="32"/>
  <c r="E679" i="32"/>
  <c r="E680" i="32"/>
  <c r="E681" i="32"/>
  <c r="E682" i="32"/>
  <c r="E683" i="32"/>
  <c r="E684" i="32"/>
  <c r="E685" i="32"/>
  <c r="E686" i="32"/>
  <c r="E687" i="32"/>
  <c r="E688" i="32"/>
  <c r="E689" i="32"/>
  <c r="E690" i="32"/>
  <c r="E691" i="32"/>
  <c r="E692" i="32"/>
  <c r="E693" i="32"/>
  <c r="E694" i="32"/>
  <c r="E695" i="32"/>
  <c r="E696" i="32"/>
  <c r="E697" i="32"/>
  <c r="E698" i="32"/>
  <c r="E699" i="32"/>
  <c r="E700" i="32"/>
  <c r="E701" i="32"/>
  <c r="E702" i="32"/>
  <c r="E703" i="32"/>
  <c r="E704" i="32"/>
  <c r="E705" i="32"/>
  <c r="E706" i="32"/>
  <c r="E707" i="32"/>
  <c r="E708" i="32"/>
  <c r="E709" i="32"/>
  <c r="E710" i="32"/>
  <c r="E711" i="32"/>
  <c r="E712" i="32"/>
  <c r="E713" i="32"/>
  <c r="E714" i="32"/>
  <c r="E715" i="32"/>
  <c r="E717" i="32"/>
  <c r="E718" i="32"/>
  <c r="E719" i="32"/>
  <c r="E720" i="32"/>
  <c r="E721" i="32"/>
  <c r="E722" i="32"/>
  <c r="E723" i="32"/>
  <c r="E724" i="32"/>
  <c r="E725" i="32"/>
  <c r="E726" i="32"/>
  <c r="E727" i="32"/>
  <c r="E728" i="32"/>
  <c r="E729" i="32"/>
  <c r="E730" i="32"/>
  <c r="E731" i="32"/>
  <c r="E732" i="32"/>
  <c r="E733" i="32"/>
  <c r="E734" i="32"/>
  <c r="E735" i="32"/>
  <c r="E736" i="32"/>
  <c r="E737" i="32"/>
  <c r="E738" i="32"/>
  <c r="E739" i="32"/>
  <c r="E740" i="32"/>
  <c r="E741" i="32"/>
  <c r="E742" i="32"/>
  <c r="E743" i="32"/>
  <c r="E744" i="32"/>
  <c r="E745" i="32"/>
  <c r="E746" i="32"/>
  <c r="E747" i="32"/>
  <c r="E748" i="32"/>
  <c r="E749" i="32"/>
  <c r="E750" i="32"/>
  <c r="E751" i="32"/>
  <c r="E752" i="32"/>
  <c r="E753" i="32"/>
  <c r="E754" i="32"/>
  <c r="E755" i="32"/>
  <c r="E756" i="32"/>
  <c r="E757" i="32"/>
  <c r="E758" i="32"/>
  <c r="E759" i="32"/>
  <c r="E760" i="32"/>
  <c r="E761" i="32"/>
  <c r="E762" i="32"/>
  <c r="E763" i="32"/>
  <c r="E764" i="32"/>
  <c r="E765" i="32"/>
  <c r="E766" i="32"/>
  <c r="E767" i="32"/>
  <c r="E768" i="32"/>
  <c r="E769" i="32"/>
  <c r="E770" i="32"/>
  <c r="E771" i="32"/>
  <c r="E772" i="32"/>
  <c r="E773" i="32"/>
  <c r="E774" i="32"/>
  <c r="E775" i="32"/>
  <c r="E776" i="32"/>
  <c r="E777" i="32"/>
  <c r="E778" i="32"/>
  <c r="E779" i="32"/>
  <c r="E780" i="32"/>
  <c r="E781" i="32"/>
  <c r="E782" i="32"/>
  <c r="E783" i="32"/>
  <c r="E784" i="32"/>
  <c r="E785" i="32"/>
  <c r="E786" i="32"/>
  <c r="E787" i="32"/>
  <c r="E788" i="32"/>
  <c r="E789" i="32"/>
  <c r="E790" i="32"/>
  <c r="E791" i="32"/>
  <c r="E792" i="32"/>
  <c r="E793" i="32"/>
  <c r="E794" i="32"/>
  <c r="E795" i="32"/>
  <c r="E796" i="32"/>
  <c r="E797" i="32"/>
  <c r="E798" i="32"/>
  <c r="E799" i="32"/>
  <c r="E800" i="32"/>
  <c r="E801" i="32"/>
  <c r="E802" i="32"/>
  <c r="E803" i="32"/>
  <c r="E804" i="32"/>
  <c r="E805" i="32"/>
  <c r="E806" i="32"/>
  <c r="E807" i="32"/>
  <c r="E808" i="32"/>
  <c r="E809" i="32"/>
  <c r="E810" i="32"/>
  <c r="E811" i="32"/>
  <c r="E812" i="32"/>
  <c r="E813" i="32"/>
  <c r="E814" i="32"/>
  <c r="E815" i="32"/>
  <c r="E816" i="32"/>
  <c r="E817" i="32"/>
  <c r="E818" i="32"/>
  <c r="E819" i="32"/>
  <c r="E820" i="32"/>
  <c r="E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G144" i="32"/>
  <c r="G145" i="32"/>
  <c r="G146" i="32"/>
  <c r="G147" i="32"/>
  <c r="G148" i="32"/>
  <c r="G149" i="32"/>
  <c r="G150" i="32"/>
  <c r="G151" i="32"/>
  <c r="G152" i="32"/>
  <c r="G153" i="32"/>
  <c r="G154" i="32"/>
  <c r="G155" i="32"/>
  <c r="G156" i="32"/>
  <c r="G157" i="32"/>
  <c r="G158" i="32"/>
  <c r="G159" i="32"/>
  <c r="G160" i="32"/>
  <c r="G161" i="32"/>
  <c r="G162" i="32"/>
  <c r="G163" i="32"/>
  <c r="G164" i="32"/>
  <c r="G165" i="32"/>
  <c r="G166" i="32"/>
  <c r="G167" i="32"/>
  <c r="G168" i="32"/>
  <c r="G169" i="32"/>
  <c r="G170" i="32"/>
  <c r="G171" i="32"/>
  <c r="G172" i="32"/>
  <c r="G173" i="32"/>
  <c r="G174" i="32"/>
  <c r="G175" i="32"/>
  <c r="G176" i="32"/>
  <c r="G177" i="32"/>
  <c r="G178" i="32"/>
  <c r="G179" i="32"/>
  <c r="G180" i="32"/>
  <c r="G181" i="32"/>
  <c r="G182" i="32"/>
  <c r="G183" i="32"/>
  <c r="G184" i="32"/>
  <c r="G185" i="32"/>
  <c r="G186" i="32"/>
  <c r="G187" i="32"/>
  <c r="G188" i="32"/>
  <c r="G189" i="32"/>
  <c r="G190" i="32"/>
  <c r="G191" i="32"/>
  <c r="G192" i="32"/>
  <c r="G193" i="32"/>
  <c r="G194" i="32"/>
  <c r="G195" i="32"/>
  <c r="G196" i="32"/>
  <c r="G197" i="32"/>
  <c r="G198" i="32"/>
  <c r="G199" i="32"/>
  <c r="G200" i="32"/>
  <c r="G201" i="32"/>
  <c r="G202" i="32"/>
  <c r="G203" i="32"/>
  <c r="G204" i="32"/>
  <c r="G205" i="32"/>
  <c r="G206" i="32"/>
  <c r="G207" i="32"/>
  <c r="G208" i="32"/>
  <c r="G209" i="32"/>
  <c r="G210" i="32"/>
  <c r="G211" i="32"/>
  <c r="G212" i="32"/>
  <c r="G213" i="32"/>
  <c r="G214" i="32"/>
  <c r="G215" i="32"/>
  <c r="G216" i="32"/>
  <c r="G217" i="32"/>
  <c r="G218" i="32"/>
  <c r="G219" i="32"/>
  <c r="G220" i="32"/>
  <c r="G221" i="32"/>
  <c r="G222" i="32"/>
  <c r="G223" i="32"/>
  <c r="G224" i="32"/>
  <c r="G225" i="32"/>
  <c r="G226" i="32"/>
  <c r="G227" i="32"/>
  <c r="G228" i="32"/>
  <c r="G229" i="32"/>
  <c r="G230" i="32"/>
  <c r="G231" i="32"/>
  <c r="G232" i="32"/>
  <c r="G233" i="32"/>
  <c r="G234" i="32"/>
  <c r="G235" i="32"/>
  <c r="G236" i="32"/>
  <c r="G237" i="32"/>
  <c r="G238" i="32"/>
  <c r="G239" i="32"/>
  <c r="G240" i="32"/>
  <c r="G241" i="32"/>
  <c r="G242" i="32"/>
  <c r="G243" i="32"/>
  <c r="G244" i="32"/>
  <c r="G245" i="32"/>
  <c r="G246" i="32"/>
  <c r="G247" i="32"/>
  <c r="G248" i="32"/>
  <c r="G249" i="32"/>
  <c r="G250" i="32"/>
  <c r="G251" i="32"/>
  <c r="G252" i="32"/>
  <c r="G253" i="32"/>
  <c r="G254" i="32"/>
  <c r="G255" i="32"/>
  <c r="G256" i="32"/>
  <c r="G257" i="32"/>
  <c r="G258" i="32"/>
  <c r="G259" i="32"/>
  <c r="G260" i="32"/>
  <c r="G261" i="32"/>
  <c r="G262" i="32"/>
  <c r="G263" i="32"/>
  <c r="G264" i="32"/>
  <c r="G265" i="32"/>
  <c r="G266" i="32"/>
  <c r="G267" i="32"/>
  <c r="G268" i="32"/>
  <c r="G269" i="32"/>
  <c r="G270" i="32"/>
  <c r="G271" i="32"/>
  <c r="G272" i="32"/>
  <c r="G273" i="32"/>
  <c r="G274" i="32"/>
  <c r="G275" i="32"/>
  <c r="G276" i="32"/>
  <c r="G277" i="32"/>
  <c r="G278" i="32"/>
  <c r="G279" i="32"/>
  <c r="G280" i="32"/>
  <c r="G281" i="32"/>
  <c r="G282" i="32"/>
  <c r="G283" i="32"/>
  <c r="G284" i="32"/>
  <c r="G285" i="32"/>
  <c r="G286" i="32"/>
  <c r="G287" i="32"/>
  <c r="G288" i="32"/>
  <c r="G289" i="32"/>
  <c r="G290" i="32"/>
  <c r="G291" i="32"/>
  <c r="G292" i="32"/>
  <c r="G293" i="32"/>
  <c r="G294" i="32"/>
  <c r="G295" i="32"/>
  <c r="G296" i="32"/>
  <c r="G297" i="32"/>
  <c r="G298" i="32"/>
  <c r="G299" i="32"/>
  <c r="G300" i="32"/>
  <c r="G301" i="32"/>
  <c r="G302" i="32"/>
  <c r="G303" i="32"/>
  <c r="G304" i="32"/>
  <c r="G305" i="32"/>
  <c r="G306" i="32"/>
  <c r="G307" i="32"/>
  <c r="G308" i="32"/>
  <c r="G309" i="32"/>
  <c r="G310" i="32"/>
  <c r="G311" i="32"/>
  <c r="G312" i="32"/>
  <c r="G313" i="32"/>
  <c r="G314" i="32"/>
  <c r="G315" i="32"/>
  <c r="G316" i="32"/>
  <c r="G317" i="32"/>
  <c r="G318" i="32"/>
  <c r="G319" i="32"/>
  <c r="G320" i="32"/>
  <c r="G321" i="32"/>
  <c r="G322" i="32"/>
  <c r="G323" i="32"/>
  <c r="G324" i="32"/>
  <c r="G325" i="32"/>
  <c r="G326" i="32"/>
  <c r="G327" i="32"/>
  <c r="G328" i="32"/>
  <c r="G329" i="32"/>
  <c r="G330" i="32"/>
  <c r="G331" i="32"/>
  <c r="G332" i="32"/>
  <c r="G333" i="32"/>
  <c r="G334" i="32"/>
  <c r="G335" i="32"/>
  <c r="G336" i="32"/>
  <c r="G337" i="32"/>
  <c r="G338" i="32"/>
  <c r="G339" i="32"/>
  <c r="G340" i="32"/>
  <c r="G341" i="32"/>
  <c r="G342" i="32"/>
  <c r="G343" i="32"/>
  <c r="G344" i="32"/>
  <c r="G345" i="32"/>
  <c r="G346" i="32"/>
  <c r="G347" i="32"/>
  <c r="G348" i="32"/>
  <c r="G349" i="32"/>
  <c r="G350" i="32"/>
  <c r="G351" i="32"/>
  <c r="G352" i="32"/>
  <c r="G353" i="32"/>
  <c r="G354" i="32"/>
  <c r="G355" i="32"/>
  <c r="G356" i="32"/>
  <c r="G357" i="32"/>
  <c r="G358" i="32"/>
  <c r="G359" i="32"/>
  <c r="G360" i="32"/>
  <c r="G361" i="32"/>
  <c r="G362" i="32"/>
  <c r="G363" i="32"/>
  <c r="G364" i="32"/>
  <c r="G365" i="32"/>
  <c r="G366" i="32"/>
  <c r="G367" i="32"/>
  <c r="G368" i="32"/>
  <c r="G369" i="32"/>
  <c r="G370" i="32"/>
  <c r="G371" i="32"/>
  <c r="G372" i="32"/>
  <c r="G373" i="32"/>
  <c r="G374" i="32"/>
  <c r="G375" i="32"/>
  <c r="G376" i="32"/>
  <c r="G377" i="32"/>
  <c r="G378" i="32"/>
  <c r="G379" i="32"/>
  <c r="G380" i="32"/>
  <c r="G381" i="32"/>
  <c r="G382" i="32"/>
  <c r="G383" i="32"/>
  <c r="G384" i="32"/>
  <c r="G385" i="32"/>
  <c r="G386" i="32"/>
  <c r="H386" i="32" s="1"/>
  <c r="P386" i="32" s="1"/>
  <c r="G387" i="32"/>
  <c r="G388" i="32"/>
  <c r="G389" i="32"/>
  <c r="G390" i="32"/>
  <c r="G391" i="32"/>
  <c r="G392" i="32"/>
  <c r="G393" i="32"/>
  <c r="G394" i="32"/>
  <c r="G395" i="32"/>
  <c r="G396" i="32"/>
  <c r="G397" i="32"/>
  <c r="G398" i="32"/>
  <c r="G399" i="32"/>
  <c r="G400" i="32"/>
  <c r="G401" i="32"/>
  <c r="G402" i="32"/>
  <c r="G403" i="32"/>
  <c r="G404" i="32"/>
  <c r="G405" i="32"/>
  <c r="G406" i="32"/>
  <c r="G407" i="32"/>
  <c r="G408" i="32"/>
  <c r="G409" i="32"/>
  <c r="G410" i="32"/>
  <c r="G411" i="32"/>
  <c r="G412" i="32"/>
  <c r="G413" i="32"/>
  <c r="G414" i="32"/>
  <c r="G415" i="32"/>
  <c r="G416" i="32"/>
  <c r="G417" i="32"/>
  <c r="G418" i="32"/>
  <c r="G419" i="32"/>
  <c r="G420" i="32"/>
  <c r="G421" i="32"/>
  <c r="G422" i="32"/>
  <c r="G423" i="32"/>
  <c r="G424" i="32"/>
  <c r="G425" i="32"/>
  <c r="G426" i="32"/>
  <c r="G427" i="32"/>
  <c r="G428" i="32"/>
  <c r="G429" i="32"/>
  <c r="G430" i="32"/>
  <c r="G431" i="32"/>
  <c r="G432" i="32"/>
  <c r="G433" i="32"/>
  <c r="G434" i="32"/>
  <c r="G435" i="32"/>
  <c r="G436" i="32"/>
  <c r="G437" i="32"/>
  <c r="G438" i="32"/>
  <c r="G439" i="32"/>
  <c r="G440" i="32"/>
  <c r="G441" i="32"/>
  <c r="G442" i="32"/>
  <c r="G443" i="32"/>
  <c r="G444" i="32"/>
  <c r="G445" i="32"/>
  <c r="G446" i="32"/>
  <c r="G447" i="32"/>
  <c r="G448" i="32"/>
  <c r="G449" i="32"/>
  <c r="G450" i="32"/>
  <c r="G451" i="32"/>
  <c r="G452" i="32"/>
  <c r="G453" i="32"/>
  <c r="G454" i="32"/>
  <c r="G455" i="32"/>
  <c r="G456" i="32"/>
  <c r="G457" i="32"/>
  <c r="G458" i="32"/>
  <c r="G459" i="32"/>
  <c r="G460" i="32"/>
  <c r="G461" i="32"/>
  <c r="G462" i="32"/>
  <c r="G463" i="32"/>
  <c r="G464" i="32"/>
  <c r="G465" i="32"/>
  <c r="G466" i="32"/>
  <c r="G467" i="32"/>
  <c r="G468" i="32"/>
  <c r="G469" i="32"/>
  <c r="G470" i="32"/>
  <c r="G471" i="32"/>
  <c r="G472" i="32"/>
  <c r="G473" i="32"/>
  <c r="G474" i="32"/>
  <c r="G475" i="32"/>
  <c r="G476" i="32"/>
  <c r="G477" i="32"/>
  <c r="G478" i="32"/>
  <c r="G479" i="32"/>
  <c r="G480" i="32"/>
  <c r="G481" i="32"/>
  <c r="G482" i="32"/>
  <c r="G483" i="32"/>
  <c r="G484" i="32"/>
  <c r="G485" i="32"/>
  <c r="G486" i="32"/>
  <c r="G487" i="32"/>
  <c r="G488" i="32"/>
  <c r="G489" i="32"/>
  <c r="G490" i="32"/>
  <c r="G491" i="32"/>
  <c r="G492" i="32"/>
  <c r="G493" i="32"/>
  <c r="G494" i="32"/>
  <c r="G495" i="32"/>
  <c r="G496" i="32"/>
  <c r="G497" i="32"/>
  <c r="G498" i="32"/>
  <c r="G499" i="32"/>
  <c r="G500" i="32"/>
  <c r="G501" i="32"/>
  <c r="G502" i="32"/>
  <c r="G503" i="32"/>
  <c r="G504" i="32"/>
  <c r="G505" i="32"/>
  <c r="G506" i="32"/>
  <c r="G507" i="32"/>
  <c r="G508" i="32"/>
  <c r="G509" i="32"/>
  <c r="G510" i="32"/>
  <c r="G511" i="32"/>
  <c r="G512" i="32"/>
  <c r="G513" i="32"/>
  <c r="G514" i="32"/>
  <c r="G515" i="32"/>
  <c r="G516" i="32"/>
  <c r="G517" i="32"/>
  <c r="G518" i="32"/>
  <c r="G519" i="32"/>
  <c r="G520" i="32"/>
  <c r="G521" i="32"/>
  <c r="G522" i="32"/>
  <c r="G523" i="32"/>
  <c r="G524" i="32"/>
  <c r="G525" i="32"/>
  <c r="G526" i="32"/>
  <c r="G527" i="32"/>
  <c r="G528" i="32"/>
  <c r="G529" i="32"/>
  <c r="G530" i="32"/>
  <c r="G531" i="32"/>
  <c r="G532" i="32"/>
  <c r="G533" i="32"/>
  <c r="G534" i="32"/>
  <c r="G535" i="32"/>
  <c r="G536" i="32"/>
  <c r="G537" i="32"/>
  <c r="G538" i="32"/>
  <c r="G539" i="32"/>
  <c r="G540" i="32"/>
  <c r="G541" i="32"/>
  <c r="G542" i="32"/>
  <c r="G543" i="32"/>
  <c r="G544" i="32"/>
  <c r="G545" i="32"/>
  <c r="G546" i="32"/>
  <c r="G547" i="32"/>
  <c r="G548" i="32"/>
  <c r="G549" i="32"/>
  <c r="G550" i="32"/>
  <c r="G551" i="32"/>
  <c r="G552" i="32"/>
  <c r="G553" i="32"/>
  <c r="G554" i="32"/>
  <c r="G555" i="32"/>
  <c r="G556" i="32"/>
  <c r="G557" i="32"/>
  <c r="G558" i="32"/>
  <c r="G559" i="32"/>
  <c r="G560" i="32"/>
  <c r="G561" i="32"/>
  <c r="G562" i="32"/>
  <c r="H562" i="32" s="1"/>
  <c r="P562" i="32" s="1"/>
  <c r="G563" i="32"/>
  <c r="H563" i="32" s="1"/>
  <c r="P563" i="32" s="1"/>
  <c r="G564" i="32"/>
  <c r="H564" i="32" s="1"/>
  <c r="P564" i="32" s="1"/>
  <c r="G565" i="32"/>
  <c r="H565" i="32" s="1"/>
  <c r="P565" i="32" s="1"/>
  <c r="G566" i="32"/>
  <c r="H566" i="32" s="1"/>
  <c r="P566" i="32" s="1"/>
  <c r="G567" i="32"/>
  <c r="H567" i="32" s="1"/>
  <c r="P567" i="32" s="1"/>
  <c r="G568" i="32"/>
  <c r="G569" i="32"/>
  <c r="H569" i="32" s="1"/>
  <c r="P569" i="32" s="1"/>
  <c r="G570" i="32"/>
  <c r="H570" i="32" s="1"/>
  <c r="P570" i="32" s="1"/>
  <c r="G571" i="32"/>
  <c r="G572" i="32"/>
  <c r="G573" i="32"/>
  <c r="G574" i="32"/>
  <c r="G575" i="32"/>
  <c r="G576" i="32"/>
  <c r="G577" i="32"/>
  <c r="G578" i="32"/>
  <c r="G579" i="32"/>
  <c r="G580" i="32"/>
  <c r="G581" i="32"/>
  <c r="G582" i="32"/>
  <c r="G583" i="32"/>
  <c r="G584" i="32"/>
  <c r="G585" i="32"/>
  <c r="G586" i="32"/>
  <c r="G587" i="32"/>
  <c r="G588" i="32"/>
  <c r="G589" i="32"/>
  <c r="G590" i="32"/>
  <c r="G591" i="32"/>
  <c r="G592" i="32"/>
  <c r="G593" i="32"/>
  <c r="G594" i="32"/>
  <c r="G595" i="32"/>
  <c r="G596" i="32"/>
  <c r="G597" i="32"/>
  <c r="G598" i="32"/>
  <c r="G599" i="32"/>
  <c r="G600" i="32"/>
  <c r="G601" i="32"/>
  <c r="G602" i="32"/>
  <c r="G603" i="32"/>
  <c r="G604" i="32"/>
  <c r="G605" i="32"/>
  <c r="G606" i="32"/>
  <c r="G607" i="32"/>
  <c r="G608" i="32"/>
  <c r="G609" i="32"/>
  <c r="G610" i="32"/>
  <c r="G611" i="32"/>
  <c r="G612" i="32"/>
  <c r="G613" i="32"/>
  <c r="G614" i="32"/>
  <c r="G615" i="32"/>
  <c r="G616" i="32"/>
  <c r="G617" i="32"/>
  <c r="G618" i="32"/>
  <c r="G619" i="32"/>
  <c r="G620" i="32"/>
  <c r="G621" i="32"/>
  <c r="G622" i="32"/>
  <c r="G623" i="32"/>
  <c r="G624" i="32"/>
  <c r="G625" i="32"/>
  <c r="G626" i="32"/>
  <c r="G627" i="32"/>
  <c r="G628" i="32"/>
  <c r="G629" i="32"/>
  <c r="G630" i="32"/>
  <c r="G631" i="32"/>
  <c r="G632" i="32"/>
  <c r="G633" i="32"/>
  <c r="G634" i="32"/>
  <c r="G635" i="32"/>
  <c r="G636" i="32"/>
  <c r="G637" i="32"/>
  <c r="G638" i="32"/>
  <c r="G639" i="32"/>
  <c r="G640" i="32"/>
  <c r="G641" i="32"/>
  <c r="G642" i="32"/>
  <c r="G643" i="32"/>
  <c r="G644" i="32"/>
  <c r="G645" i="32"/>
  <c r="G646" i="32"/>
  <c r="G647" i="32"/>
  <c r="G648" i="32"/>
  <c r="G649" i="32"/>
  <c r="G650" i="32"/>
  <c r="G651" i="32"/>
  <c r="G652" i="32"/>
  <c r="G653" i="32"/>
  <c r="G654" i="32"/>
  <c r="G655" i="32"/>
  <c r="G656" i="32"/>
  <c r="G657" i="32"/>
  <c r="G658" i="32"/>
  <c r="G659" i="32"/>
  <c r="G660" i="32"/>
  <c r="G661" i="32"/>
  <c r="G662" i="32"/>
  <c r="G663" i="32"/>
  <c r="G664" i="32"/>
  <c r="G665" i="32"/>
  <c r="G666" i="32"/>
  <c r="G667" i="32"/>
  <c r="G668" i="32"/>
  <c r="G669" i="32"/>
  <c r="G670" i="32"/>
  <c r="G671" i="32"/>
  <c r="G672" i="32"/>
  <c r="G673" i="32"/>
  <c r="G674" i="32"/>
  <c r="G675" i="32"/>
  <c r="G676" i="32"/>
  <c r="G677" i="32"/>
  <c r="G678" i="32"/>
  <c r="G679" i="32"/>
  <c r="G680" i="32"/>
  <c r="G681" i="32"/>
  <c r="G682" i="32"/>
  <c r="G683" i="32"/>
  <c r="G684" i="32"/>
  <c r="G685" i="32"/>
  <c r="G686" i="32"/>
  <c r="G687" i="32"/>
  <c r="G688" i="32"/>
  <c r="G689" i="32"/>
  <c r="G690" i="32"/>
  <c r="G691" i="32"/>
  <c r="G692" i="32"/>
  <c r="G693" i="32"/>
  <c r="G694" i="32"/>
  <c r="G695" i="32"/>
  <c r="G696" i="32"/>
  <c r="G697" i="32"/>
  <c r="G698" i="32"/>
  <c r="G699" i="32"/>
  <c r="G700" i="32"/>
  <c r="G701" i="32"/>
  <c r="G702" i="32"/>
  <c r="G703" i="32"/>
  <c r="G704" i="32"/>
  <c r="G705" i="32"/>
  <c r="G706" i="32"/>
  <c r="G707" i="32"/>
  <c r="G708" i="32"/>
  <c r="G709" i="32"/>
  <c r="G710" i="32"/>
  <c r="G711" i="32"/>
  <c r="G712" i="32"/>
  <c r="G713" i="32"/>
  <c r="G714" i="32"/>
  <c r="G715" i="32"/>
  <c r="G716" i="32"/>
  <c r="H716" i="32" s="1"/>
  <c r="P716" i="32" s="1"/>
  <c r="G717" i="32"/>
  <c r="G718" i="32"/>
  <c r="G719" i="32"/>
  <c r="G720" i="32"/>
  <c r="G721" i="32"/>
  <c r="G722" i="32"/>
  <c r="G723" i="32"/>
  <c r="G724" i="32"/>
  <c r="G725" i="32"/>
  <c r="G726" i="32"/>
  <c r="G727" i="32"/>
  <c r="G728" i="32"/>
  <c r="G729" i="32"/>
  <c r="G730" i="32"/>
  <c r="G731" i="32"/>
  <c r="G732" i="32"/>
  <c r="G733" i="32"/>
  <c r="G734" i="32"/>
  <c r="G735" i="32"/>
  <c r="G736" i="32"/>
  <c r="G737" i="32"/>
  <c r="G738" i="32"/>
  <c r="G739" i="32"/>
  <c r="G740" i="32"/>
  <c r="G741" i="32"/>
  <c r="G742" i="32"/>
  <c r="G743" i="32"/>
  <c r="G744" i="32"/>
  <c r="G745" i="32"/>
  <c r="G746" i="32"/>
  <c r="G747" i="32"/>
  <c r="G748" i="32"/>
  <c r="G749" i="32"/>
  <c r="G750" i="32"/>
  <c r="G751" i="32"/>
  <c r="G752" i="32"/>
  <c r="G753" i="32"/>
  <c r="G754" i="32"/>
  <c r="G755" i="32"/>
  <c r="G756" i="32"/>
  <c r="G757" i="32"/>
  <c r="G758" i="32"/>
  <c r="G759" i="32"/>
  <c r="G760" i="32"/>
  <c r="G761" i="32"/>
  <c r="G762" i="32"/>
  <c r="G763" i="32"/>
  <c r="G764" i="32"/>
  <c r="G765" i="32"/>
  <c r="G766" i="32"/>
  <c r="G767" i="32"/>
  <c r="G768" i="32"/>
  <c r="G769" i="32"/>
  <c r="G770" i="32"/>
  <c r="G771" i="32"/>
  <c r="G772" i="32"/>
  <c r="G773" i="32"/>
  <c r="G774" i="32"/>
  <c r="G775" i="32"/>
  <c r="G776" i="32"/>
  <c r="G777" i="32"/>
  <c r="G778" i="32"/>
  <c r="G779" i="32"/>
  <c r="G780" i="32"/>
  <c r="G781" i="32"/>
  <c r="G782" i="32"/>
  <c r="G783" i="32"/>
  <c r="G784" i="32"/>
  <c r="G785" i="32"/>
  <c r="G786" i="32"/>
  <c r="G787" i="32"/>
  <c r="G788" i="32"/>
  <c r="G789" i="32"/>
  <c r="G790" i="32"/>
  <c r="G791" i="32"/>
  <c r="G792" i="32"/>
  <c r="G793" i="32"/>
  <c r="G794" i="32"/>
  <c r="G795" i="32"/>
  <c r="G796" i="32"/>
  <c r="G797" i="32"/>
  <c r="G798" i="32"/>
  <c r="G799" i="32"/>
  <c r="G800" i="32"/>
  <c r="G801" i="32"/>
  <c r="G802" i="32"/>
  <c r="G803" i="32"/>
  <c r="G804" i="32"/>
  <c r="G805" i="32"/>
  <c r="G806" i="32"/>
  <c r="G807" i="32"/>
  <c r="G808" i="32"/>
  <c r="G809" i="32"/>
  <c r="G810" i="32"/>
  <c r="G811" i="32"/>
  <c r="G812" i="32"/>
  <c r="G813" i="32"/>
  <c r="G814" i="32"/>
  <c r="G815" i="32"/>
  <c r="G816" i="32"/>
  <c r="G817" i="32"/>
  <c r="G818" i="32"/>
  <c r="G819" i="32"/>
  <c r="G820" i="32"/>
  <c r="G2" i="32"/>
  <c r="I3" i="34" l="1"/>
  <c r="I4" i="34"/>
  <c r="I32" i="34"/>
  <c r="I33" i="34"/>
  <c r="I34" i="34"/>
  <c r="I35" i="34"/>
  <c r="I36" i="34"/>
  <c r="I37" i="34"/>
  <c r="I43" i="34" s="1"/>
  <c r="I38" i="34"/>
  <c r="I39" i="34"/>
  <c r="I2" i="34"/>
  <c r="B20" i="20" l="1"/>
  <c r="C20" i="20" s="1"/>
  <c r="M439" i="21"/>
  <c r="B32" i="20" l="1"/>
  <c r="C32" i="20" s="1"/>
  <c r="I80" i="11"/>
  <c r="I81" i="11"/>
  <c r="I82" i="11"/>
  <c r="I83" i="11"/>
  <c r="I84" i="11"/>
  <c r="I85" i="11"/>
  <c r="I86" i="11"/>
  <c r="I87" i="11"/>
  <c r="I88" i="11"/>
  <c r="I89" i="11"/>
  <c r="I90" i="11"/>
  <c r="I91" i="11"/>
  <c r="I92" i="11"/>
  <c r="I93" i="11"/>
  <c r="I94" i="11"/>
  <c r="I95" i="11"/>
  <c r="I96" i="11"/>
  <c r="I97" i="11"/>
  <c r="I98" i="11"/>
  <c r="I99" i="11"/>
  <c r="I100" i="11"/>
  <c r="I101" i="11"/>
  <c r="I102" i="11"/>
  <c r="I103" i="11"/>
  <c r="H181" i="11" s="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79" i="11"/>
  <c r="I66" i="11"/>
  <c r="I67" i="11"/>
  <c r="I68" i="11"/>
  <c r="I69" i="11"/>
  <c r="I70" i="11"/>
  <c r="I71" i="11"/>
  <c r="I72" i="11"/>
  <c r="I73" i="11"/>
  <c r="I74" i="11"/>
  <c r="I75" i="11"/>
  <c r="I76" i="11"/>
  <c r="I77" i="11"/>
  <c r="I65" i="11"/>
  <c r="H182" i="11"/>
  <c r="I58" i="11"/>
  <c r="I59" i="11"/>
  <c r="I60" i="11"/>
  <c r="I61" i="11"/>
  <c r="I57" i="11"/>
  <c r="I48" i="11"/>
  <c r="I49" i="11"/>
  <c r="I50" i="11"/>
  <c r="I51" i="11"/>
  <c r="I52" i="11"/>
  <c r="I53" i="11"/>
  <c r="I54" i="11"/>
  <c r="I55" i="11"/>
  <c r="I47" i="11"/>
  <c r="I45" i="11"/>
  <c r="I44" i="11"/>
  <c r="I25" i="11"/>
  <c r="I26" i="11"/>
  <c r="I27" i="11"/>
  <c r="I28" i="11"/>
  <c r="I29" i="11"/>
  <c r="I30" i="11"/>
  <c r="I31" i="11"/>
  <c r="I32" i="11"/>
  <c r="I33" i="11"/>
  <c r="I34" i="11"/>
  <c r="I35" i="11"/>
  <c r="I36" i="11"/>
  <c r="I37" i="11"/>
  <c r="I38" i="11"/>
  <c r="I39" i="11"/>
  <c r="I40" i="11"/>
  <c r="I41" i="11"/>
  <c r="I42" i="11"/>
  <c r="I24" i="11"/>
  <c r="I20" i="11"/>
  <c r="I21" i="11"/>
  <c r="I22" i="11"/>
  <c r="I19" i="11"/>
  <c r="I15" i="11"/>
  <c r="I16" i="11"/>
  <c r="I17" i="11"/>
  <c r="I14" i="11"/>
  <c r="I4" i="11"/>
  <c r="I5" i="11"/>
  <c r="I6" i="11"/>
  <c r="I7" i="11"/>
  <c r="I8" i="11"/>
  <c r="I9" i="11"/>
  <c r="I10" i="11"/>
  <c r="I11" i="11"/>
  <c r="I12" i="11"/>
  <c r="I3" i="11"/>
  <c r="F80" i="11"/>
  <c r="G80" i="11"/>
  <c r="F81" i="11"/>
  <c r="G81" i="11"/>
  <c r="F82" i="11"/>
  <c r="G82" i="11"/>
  <c r="F83" i="11"/>
  <c r="G83" i="11"/>
  <c r="F84" i="11"/>
  <c r="G84" i="11"/>
  <c r="F85" i="11"/>
  <c r="G85" i="11"/>
  <c r="F86" i="11"/>
  <c r="G86" i="11"/>
  <c r="F87" i="11"/>
  <c r="G87" i="11"/>
  <c r="F88" i="11"/>
  <c r="G88" i="11"/>
  <c r="F89" i="11"/>
  <c r="G89" i="11"/>
  <c r="F90" i="11"/>
  <c r="G90" i="11"/>
  <c r="F91" i="11"/>
  <c r="G91" i="11"/>
  <c r="F92" i="11"/>
  <c r="G92" i="11"/>
  <c r="F93" i="11"/>
  <c r="G93" i="11"/>
  <c r="F94" i="11"/>
  <c r="G94" i="11"/>
  <c r="F95" i="11"/>
  <c r="G95" i="11"/>
  <c r="F96" i="11"/>
  <c r="G96" i="11"/>
  <c r="F97" i="11"/>
  <c r="G97" i="11"/>
  <c r="F98" i="11"/>
  <c r="G98" i="11"/>
  <c r="F99" i="11"/>
  <c r="G99" i="11"/>
  <c r="F100" i="11"/>
  <c r="G100" i="11"/>
  <c r="F101" i="11"/>
  <c r="G101" i="11"/>
  <c r="F102" i="11"/>
  <c r="G102" i="11"/>
  <c r="F103" i="11"/>
  <c r="G103" i="11"/>
  <c r="F104" i="11"/>
  <c r="G104" i="11"/>
  <c r="F105" i="11"/>
  <c r="G105" i="11"/>
  <c r="F106" i="11"/>
  <c r="G106" i="11"/>
  <c r="F107" i="11"/>
  <c r="G107" i="11"/>
  <c r="F108" i="11"/>
  <c r="G108" i="11"/>
  <c r="F109" i="11"/>
  <c r="G109" i="11"/>
  <c r="F110" i="11"/>
  <c r="G110" i="11"/>
  <c r="F111" i="11"/>
  <c r="G111" i="11"/>
  <c r="F112" i="11"/>
  <c r="G112" i="11"/>
  <c r="F113" i="11"/>
  <c r="G113" i="11"/>
  <c r="F114" i="11"/>
  <c r="G114" i="11"/>
  <c r="F115" i="11"/>
  <c r="G115" i="11"/>
  <c r="F116" i="11"/>
  <c r="G116" i="11"/>
  <c r="F117" i="11"/>
  <c r="G117" i="11"/>
  <c r="F118" i="11"/>
  <c r="G118" i="11"/>
  <c r="F119" i="11"/>
  <c r="G119" i="11"/>
  <c r="F120" i="11"/>
  <c r="G120" i="11"/>
  <c r="F121" i="11"/>
  <c r="G121" i="11"/>
  <c r="F122" i="11"/>
  <c r="G122" i="11"/>
  <c r="F123" i="11"/>
  <c r="G123" i="11"/>
  <c r="F124" i="11"/>
  <c r="G124" i="11"/>
  <c r="F125" i="11"/>
  <c r="G125" i="11"/>
  <c r="F126" i="11"/>
  <c r="G126" i="11"/>
  <c r="F127" i="11"/>
  <c r="G127" i="11"/>
  <c r="F128" i="11"/>
  <c r="G128" i="11"/>
  <c r="F129" i="11"/>
  <c r="G129" i="11"/>
  <c r="F130" i="11"/>
  <c r="G130" i="11"/>
  <c r="F131" i="11"/>
  <c r="G131" i="11"/>
  <c r="F132" i="11"/>
  <c r="G132" i="11"/>
  <c r="F133" i="11"/>
  <c r="G133" i="11"/>
  <c r="F134" i="11"/>
  <c r="G134" i="11"/>
  <c r="F135" i="11"/>
  <c r="G135" i="11"/>
  <c r="F136" i="11"/>
  <c r="G136" i="11"/>
  <c r="F137" i="11"/>
  <c r="G137" i="11"/>
  <c r="F138" i="11"/>
  <c r="G138" i="11"/>
  <c r="F139" i="11"/>
  <c r="G139" i="11"/>
  <c r="F140" i="11"/>
  <c r="G140" i="11"/>
  <c r="F141" i="11"/>
  <c r="G141" i="11"/>
  <c r="F142" i="11"/>
  <c r="G142" i="11"/>
  <c r="F143" i="11"/>
  <c r="G143" i="11"/>
  <c r="F144" i="11"/>
  <c r="G144" i="11"/>
  <c r="F145" i="11"/>
  <c r="G145" i="11"/>
  <c r="F146" i="11"/>
  <c r="G146" i="11"/>
  <c r="F147" i="11"/>
  <c r="G147" i="11"/>
  <c r="F148" i="11"/>
  <c r="G148" i="11"/>
  <c r="F149" i="11"/>
  <c r="G149" i="11"/>
  <c r="F150" i="11"/>
  <c r="G150" i="11"/>
  <c r="F151" i="11"/>
  <c r="G151" i="11"/>
  <c r="F152" i="11"/>
  <c r="G152" i="11"/>
  <c r="F153" i="11"/>
  <c r="G153" i="11"/>
  <c r="F154" i="11"/>
  <c r="G154" i="11"/>
  <c r="F155" i="11"/>
  <c r="G155" i="11"/>
  <c r="F156" i="11"/>
  <c r="G156" i="11"/>
  <c r="F157" i="11"/>
  <c r="G157" i="11"/>
  <c r="F158" i="11"/>
  <c r="G158" i="11"/>
  <c r="F159" i="11"/>
  <c r="G159" i="11"/>
  <c r="F160" i="11"/>
  <c r="G160" i="11"/>
  <c r="F161" i="11"/>
  <c r="G161" i="11"/>
  <c r="F162" i="11"/>
  <c r="G162" i="11"/>
  <c r="F163" i="11"/>
  <c r="G163" i="11"/>
  <c r="F164" i="11"/>
  <c r="G164" i="11"/>
  <c r="F165" i="11"/>
  <c r="G165" i="11"/>
  <c r="F166" i="11"/>
  <c r="G166" i="11"/>
  <c r="F167" i="11"/>
  <c r="G167" i="11"/>
  <c r="F168" i="11"/>
  <c r="G168" i="11"/>
  <c r="F169" i="11"/>
  <c r="G169" i="11"/>
  <c r="F170" i="11"/>
  <c r="G170" i="11"/>
  <c r="F171" i="11"/>
  <c r="G171" i="11"/>
  <c r="F172" i="11"/>
  <c r="G172" i="11"/>
  <c r="F173" i="11"/>
  <c r="G173" i="11"/>
  <c r="F174" i="11"/>
  <c r="G174" i="11"/>
  <c r="F175" i="11"/>
  <c r="G175" i="11"/>
  <c r="F176" i="11"/>
  <c r="G176" i="11"/>
  <c r="F177" i="11"/>
  <c r="G177" i="11"/>
  <c r="F178" i="11"/>
  <c r="G178" i="11"/>
  <c r="G79" i="11"/>
  <c r="F79" i="11"/>
  <c r="H78" i="11"/>
  <c r="F65" i="11"/>
  <c r="G65" i="11"/>
  <c r="F66" i="11"/>
  <c r="G66" i="11"/>
  <c r="F67" i="11"/>
  <c r="G67" i="11"/>
  <c r="F68" i="11"/>
  <c r="G68" i="11"/>
  <c r="F69" i="11"/>
  <c r="G69" i="11"/>
  <c r="F70" i="11"/>
  <c r="G70" i="11"/>
  <c r="F71" i="11"/>
  <c r="G71" i="11"/>
  <c r="F72" i="11"/>
  <c r="G72" i="11"/>
  <c r="F73" i="11"/>
  <c r="G73" i="11"/>
  <c r="F74" i="11"/>
  <c r="G74" i="11"/>
  <c r="F75" i="11"/>
  <c r="G75" i="11"/>
  <c r="F76" i="11"/>
  <c r="G76" i="11"/>
  <c r="F77" i="11"/>
  <c r="G77" i="11"/>
  <c r="H64" i="11"/>
  <c r="D2" i="17"/>
  <c r="D101" i="17"/>
  <c r="D100" i="17"/>
  <c r="D99" i="17"/>
  <c r="D98" i="17"/>
  <c r="D97" i="17"/>
  <c r="D96" i="17"/>
  <c r="D95" i="17"/>
  <c r="D94" i="17"/>
  <c r="D93" i="17"/>
  <c r="D92" i="17"/>
  <c r="D91" i="17"/>
  <c r="D90" i="17"/>
  <c r="D89" i="17"/>
  <c r="D88" i="17"/>
  <c r="D87" i="17"/>
  <c r="D86" i="17"/>
  <c r="D85" i="17"/>
  <c r="D84" i="17"/>
  <c r="D83" i="17"/>
  <c r="D82" i="17"/>
  <c r="D81" i="17"/>
  <c r="D80" i="17"/>
  <c r="D79" i="17"/>
  <c r="D78" i="17"/>
  <c r="D77" i="17"/>
  <c r="D76" i="17"/>
  <c r="D75" i="17"/>
  <c r="D74" i="17"/>
  <c r="D73" i="17"/>
  <c r="D72" i="17"/>
  <c r="D71" i="17"/>
  <c r="D70" i="17"/>
  <c r="D69" i="17"/>
  <c r="D68" i="17"/>
  <c r="D67" i="17"/>
  <c r="D66" i="17"/>
  <c r="D65" i="17"/>
  <c r="D64" i="17"/>
  <c r="D63" i="17"/>
  <c r="D62" i="17"/>
  <c r="D61" i="17"/>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L4" i="19"/>
  <c r="DL5" i="19"/>
  <c r="DL6" i="19"/>
  <c r="DL7" i="19"/>
  <c r="DL8" i="19"/>
  <c r="DL9" i="19"/>
  <c r="DL10" i="19"/>
  <c r="DL11" i="19"/>
  <c r="DL12" i="19"/>
  <c r="DL13" i="19"/>
  <c r="DL14" i="19"/>
  <c r="DL15" i="19"/>
  <c r="DL16" i="19"/>
  <c r="DL17" i="19"/>
  <c r="DL18" i="19"/>
  <c r="DL19" i="19"/>
  <c r="DL20" i="19"/>
  <c r="DL21" i="19"/>
  <c r="DL22" i="19"/>
  <c r="DL3" i="19"/>
  <c r="AF3" i="19"/>
  <c r="AF4" i="19"/>
  <c r="AF5" i="19"/>
  <c r="AF6" i="19"/>
  <c r="AF7" i="19"/>
  <c r="AF8" i="19"/>
  <c r="AF9" i="19"/>
  <c r="AF10" i="19"/>
  <c r="AF11" i="19"/>
  <c r="AF12" i="19"/>
  <c r="AF13" i="19"/>
  <c r="AF14" i="19"/>
  <c r="AF15" i="19"/>
  <c r="AF16" i="19"/>
  <c r="AF17" i="19"/>
  <c r="AF18" i="19"/>
  <c r="AF19" i="19"/>
  <c r="AF20" i="19"/>
  <c r="AF21" i="19"/>
  <c r="AF22" i="19"/>
  <c r="B25" i="19" l="1"/>
  <c r="H180" i="11"/>
  <c r="D39" i="6"/>
  <c r="D40" i="6"/>
  <c r="D42" i="6"/>
  <c r="D38" i="6"/>
  <c r="D20" i="6"/>
  <c r="D21" i="6"/>
  <c r="D22" i="6"/>
  <c r="D23" i="6"/>
  <c r="D24" i="6"/>
  <c r="D25" i="6"/>
  <c r="D26" i="6"/>
  <c r="D27" i="6"/>
  <c r="D28" i="6"/>
  <c r="D29" i="6"/>
  <c r="D30" i="6"/>
  <c r="D31" i="6"/>
  <c r="D32" i="6"/>
  <c r="D33" i="6"/>
  <c r="D34" i="6"/>
  <c r="D35" i="6"/>
  <c r="D36" i="6"/>
  <c r="D19" i="6"/>
  <c r="D15" i="6"/>
  <c r="D16" i="6"/>
  <c r="D17" i="6"/>
  <c r="D14" i="6"/>
  <c r="D4" i="6"/>
  <c r="D5" i="6"/>
  <c r="D6" i="6"/>
  <c r="D7" i="6"/>
  <c r="D8" i="6"/>
  <c r="D9" i="6"/>
  <c r="D10" i="6"/>
  <c r="D11" i="6"/>
  <c r="D12" i="6"/>
  <c r="D3" i="6"/>
  <c r="Z4" i="5" l="1"/>
  <c r="Z5" i="5"/>
  <c r="Z6" i="5"/>
  <c r="Z7" i="5"/>
  <c r="Z8" i="5"/>
  <c r="Z9" i="5"/>
  <c r="Z10" i="5"/>
  <c r="Z12" i="5"/>
  <c r="Z13" i="5"/>
  <c r="Z14" i="5"/>
  <c r="Z15" i="5"/>
  <c r="EC22" i="19" l="1"/>
  <c r="EC21" i="19"/>
  <c r="EC20" i="19"/>
  <c r="EC19" i="19"/>
  <c r="EC18" i="19"/>
  <c r="EC17" i="19"/>
  <c r="EC16" i="19"/>
  <c r="EC15" i="19"/>
  <c r="EC14" i="19"/>
  <c r="EC13" i="19"/>
  <c r="EC12" i="19"/>
  <c r="EC11" i="19"/>
  <c r="EC10" i="19"/>
  <c r="EC9" i="19"/>
  <c r="EC8" i="19"/>
  <c r="EC7" i="19"/>
  <c r="EC6" i="19"/>
  <c r="EC5" i="19"/>
  <c r="EC4" i="19"/>
  <c r="B34" i="19" s="1"/>
  <c r="EC3" i="19"/>
  <c r="N18" i="10"/>
  <c r="N16" i="10"/>
  <c r="N20" i="10" s="1"/>
  <c r="B5" i="20" s="1"/>
  <c r="C5" i="20" s="1"/>
  <c r="N15" i="10"/>
  <c r="N14" i="10"/>
  <c r="N13" i="10"/>
  <c r="N11" i="10"/>
  <c r="N10" i="10"/>
  <c r="N9" i="10"/>
  <c r="N8" i="10"/>
  <c r="N7" i="10"/>
  <c r="N5" i="10"/>
  <c r="N4" i="10"/>
  <c r="N3" i="10"/>
  <c r="H3" i="18"/>
  <c r="H4" i="18"/>
  <c r="H5" i="18"/>
  <c r="H6" i="18"/>
  <c r="H7" i="18"/>
  <c r="H8" i="18"/>
  <c r="H9" i="18"/>
  <c r="H10" i="18"/>
  <c r="H11" i="18"/>
  <c r="H12" i="18"/>
  <c r="H13" i="18"/>
  <c r="H14" i="18"/>
  <c r="H15" i="18"/>
  <c r="H16" i="18"/>
  <c r="H17" i="18"/>
  <c r="H18" i="18"/>
  <c r="H19" i="18"/>
  <c r="B9" i="20"/>
  <c r="C9" i="20" s="1"/>
  <c r="M452" i="21"/>
  <c r="I2" i="30"/>
  <c r="I3" i="30"/>
  <c r="I4" i="30"/>
  <c r="I5" i="30"/>
  <c r="I6" i="30"/>
  <c r="I7" i="30"/>
  <c r="I8" i="30"/>
  <c r="I9" i="30"/>
  <c r="I10" i="30"/>
  <c r="I11" i="30"/>
  <c r="I12" i="30"/>
  <c r="I13" i="30"/>
  <c r="I14" i="30"/>
  <c r="I15" i="30"/>
  <c r="I16" i="30"/>
  <c r="I17" i="30"/>
  <c r="I18" i="30"/>
  <c r="I19" i="30"/>
  <c r="I20" i="30"/>
  <c r="I21" i="30"/>
  <c r="I22"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73" i="30"/>
  <c r="I74" i="30"/>
  <c r="I75" i="30"/>
  <c r="I76" i="30"/>
  <c r="I77" i="30"/>
  <c r="B29" i="20"/>
  <c r="C29" i="20" s="1"/>
  <c r="M420" i="21"/>
  <c r="CI3" i="19"/>
  <c r="CR4" i="19"/>
  <c r="CR5" i="19"/>
  <c r="CR6" i="19"/>
  <c r="CR7" i="19"/>
  <c r="CR8" i="19"/>
  <c r="CR9" i="19"/>
  <c r="CR10" i="19"/>
  <c r="CR11" i="19"/>
  <c r="CR12" i="19"/>
  <c r="CR13" i="19"/>
  <c r="CR14" i="19"/>
  <c r="CR15" i="19"/>
  <c r="CR16" i="19"/>
  <c r="CR17" i="19"/>
  <c r="CR18" i="19"/>
  <c r="CR19" i="19"/>
  <c r="CR20" i="19"/>
  <c r="CR21" i="19"/>
  <c r="CR22" i="19"/>
  <c r="CR3" i="19"/>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8" i="5"/>
  <c r="I59" i="5"/>
  <c r="I60" i="5"/>
  <c r="I61" i="5"/>
  <c r="I62" i="5"/>
  <c r="I63" i="5"/>
  <c r="I64" i="5"/>
  <c r="I65" i="5"/>
  <c r="I66" i="5"/>
  <c r="I67" i="5"/>
  <c r="I68" i="5"/>
  <c r="I69" i="5"/>
  <c r="K76" i="5"/>
  <c r="K77" i="5"/>
  <c r="K78" i="5"/>
  <c r="K79" i="5"/>
  <c r="K80" i="5"/>
  <c r="K81" i="5"/>
  <c r="K82" i="5"/>
  <c r="K83" i="5"/>
  <c r="K84" i="5"/>
  <c r="K85" i="5"/>
  <c r="K86" i="5"/>
  <c r="K87" i="5"/>
  <c r="K88" i="5"/>
  <c r="K75" i="5"/>
  <c r="DE3" i="19"/>
  <c r="EV4" i="19"/>
  <c r="EV5" i="19"/>
  <c r="EV6" i="19"/>
  <c r="EV7" i="19"/>
  <c r="EV8" i="19"/>
  <c r="EV9" i="19"/>
  <c r="EV10" i="19"/>
  <c r="EV11" i="19"/>
  <c r="EV12" i="19"/>
  <c r="EV13" i="19"/>
  <c r="EV14" i="19"/>
  <c r="EV15" i="19"/>
  <c r="EV16" i="19"/>
  <c r="EV17" i="19"/>
  <c r="EV18" i="19"/>
  <c r="EV19" i="19"/>
  <c r="EV20" i="19"/>
  <c r="EV21" i="19"/>
  <c r="EV22" i="19"/>
  <c r="EV3" i="19"/>
  <c r="EL3" i="19"/>
  <c r="H21" i="18"/>
  <c r="B13" i="20" s="1"/>
  <c r="C13" i="20" s="1"/>
  <c r="FD4" i="19"/>
  <c r="FD5" i="19"/>
  <c r="FD6" i="19"/>
  <c r="FD7" i="19"/>
  <c r="FD8" i="19"/>
  <c r="FD9" i="19"/>
  <c r="FD10" i="19"/>
  <c r="FD11" i="19"/>
  <c r="FD12" i="19"/>
  <c r="FD13" i="19"/>
  <c r="FD14" i="19"/>
  <c r="FD15" i="19"/>
  <c r="FD16" i="19"/>
  <c r="FD17" i="19"/>
  <c r="FD18" i="19"/>
  <c r="FD19" i="19"/>
  <c r="FD20" i="19"/>
  <c r="FD21" i="19"/>
  <c r="FD22" i="19"/>
  <c r="FD3" i="19"/>
  <c r="EL4" i="19"/>
  <c r="EL5" i="19"/>
  <c r="EL6" i="19"/>
  <c r="EL7" i="19"/>
  <c r="EL8" i="19"/>
  <c r="EL9" i="19"/>
  <c r="EL10" i="19"/>
  <c r="EL11" i="19"/>
  <c r="EL12" i="19"/>
  <c r="EL13" i="19"/>
  <c r="EL14" i="19"/>
  <c r="EL15" i="19"/>
  <c r="EL16" i="19"/>
  <c r="EL17" i="19"/>
  <c r="EL18" i="19"/>
  <c r="EL19" i="19"/>
  <c r="EL20" i="19"/>
  <c r="EL21" i="19"/>
  <c r="EL22" i="19"/>
  <c r="DE4" i="19"/>
  <c r="DE5" i="19"/>
  <c r="DE6" i="19"/>
  <c r="DE7" i="19"/>
  <c r="DE8" i="19"/>
  <c r="DE9" i="19"/>
  <c r="DE10" i="19"/>
  <c r="DE11" i="19"/>
  <c r="DE12" i="19"/>
  <c r="DE13" i="19"/>
  <c r="DE14" i="19"/>
  <c r="DE15" i="19"/>
  <c r="DE16" i="19"/>
  <c r="DE17" i="19"/>
  <c r="DE18" i="19"/>
  <c r="DE19" i="19"/>
  <c r="DE20" i="19"/>
  <c r="DE21" i="19"/>
  <c r="DE22" i="19"/>
  <c r="CI4" i="19"/>
  <c r="CI5" i="19"/>
  <c r="CI6" i="19"/>
  <c r="CI7" i="19"/>
  <c r="CI8" i="19"/>
  <c r="CI9" i="19"/>
  <c r="CI10" i="19"/>
  <c r="CI11" i="19"/>
  <c r="CI12" i="19"/>
  <c r="CI13" i="19"/>
  <c r="CI14" i="19"/>
  <c r="CI15" i="19"/>
  <c r="CI16" i="19"/>
  <c r="CI17" i="19"/>
  <c r="CI18" i="19"/>
  <c r="CI19" i="19"/>
  <c r="CI20" i="19"/>
  <c r="CI21" i="19"/>
  <c r="CI22" i="19"/>
  <c r="BT4" i="19"/>
  <c r="BT5" i="19"/>
  <c r="BT6" i="19"/>
  <c r="BT7" i="19"/>
  <c r="BT8" i="19"/>
  <c r="BT9" i="19"/>
  <c r="BT10" i="19"/>
  <c r="BT11" i="19"/>
  <c r="BT12" i="19"/>
  <c r="BT13" i="19"/>
  <c r="BT14" i="19"/>
  <c r="BT15" i="19"/>
  <c r="BT16" i="19"/>
  <c r="BT17" i="19"/>
  <c r="BT18" i="19"/>
  <c r="BT19" i="19"/>
  <c r="BT20" i="19"/>
  <c r="BT21" i="19"/>
  <c r="BT22" i="19"/>
  <c r="BT3" i="19"/>
  <c r="BG4" i="19"/>
  <c r="BG5" i="19"/>
  <c r="BG6" i="19"/>
  <c r="BG7" i="19"/>
  <c r="BG8" i="19"/>
  <c r="BG9" i="19"/>
  <c r="BG10" i="19"/>
  <c r="BG11" i="19"/>
  <c r="BG12" i="19"/>
  <c r="BG13" i="19"/>
  <c r="BG14" i="19"/>
  <c r="BG15" i="19"/>
  <c r="BG16" i="19"/>
  <c r="BG17" i="19"/>
  <c r="BG18" i="19"/>
  <c r="BG19" i="19"/>
  <c r="BG20" i="19"/>
  <c r="BG21" i="19"/>
  <c r="BG22" i="19"/>
  <c r="BG3" i="19"/>
  <c r="AT4" i="19"/>
  <c r="AT5" i="19"/>
  <c r="AT6" i="19"/>
  <c r="AT7" i="19"/>
  <c r="AT8" i="19"/>
  <c r="AT9" i="19"/>
  <c r="AT10" i="19"/>
  <c r="AT11" i="19"/>
  <c r="AT12" i="19"/>
  <c r="AT13" i="19"/>
  <c r="AT14" i="19"/>
  <c r="AT15" i="19"/>
  <c r="AT16" i="19"/>
  <c r="AT17" i="19"/>
  <c r="AT18" i="19"/>
  <c r="AT19" i="19"/>
  <c r="AT20" i="19"/>
  <c r="AT21" i="19"/>
  <c r="AT22" i="19"/>
  <c r="AT3" i="19"/>
  <c r="H63" i="11"/>
  <c r="G3" i="11"/>
  <c r="F3" i="11"/>
  <c r="G4" i="11"/>
  <c r="F4" i="11"/>
  <c r="G5" i="11"/>
  <c r="F5" i="11"/>
  <c r="G6" i="11"/>
  <c r="F6" i="11"/>
  <c r="G7" i="11"/>
  <c r="F7" i="11"/>
  <c r="G8" i="11"/>
  <c r="F8" i="11"/>
  <c r="G9" i="11"/>
  <c r="F9" i="11"/>
  <c r="G10" i="11"/>
  <c r="F10" i="11"/>
  <c r="G11" i="11"/>
  <c r="F11" i="11"/>
  <c r="G12" i="11"/>
  <c r="F12" i="11"/>
  <c r="G14" i="11"/>
  <c r="F14" i="11"/>
  <c r="G15" i="11"/>
  <c r="F15" i="11"/>
  <c r="G16" i="11"/>
  <c r="F16" i="11"/>
  <c r="G17" i="11"/>
  <c r="F17" i="11"/>
  <c r="G19" i="11"/>
  <c r="F19" i="11"/>
  <c r="G20" i="11"/>
  <c r="F20" i="11"/>
  <c r="G21" i="11"/>
  <c r="F21" i="11"/>
  <c r="G22" i="11"/>
  <c r="F22" i="11"/>
  <c r="G24" i="11"/>
  <c r="F24" i="11"/>
  <c r="G25" i="11"/>
  <c r="F25" i="11"/>
  <c r="G26" i="11"/>
  <c r="F26" i="11"/>
  <c r="G27" i="11"/>
  <c r="F27" i="11"/>
  <c r="G28" i="11"/>
  <c r="F28" i="11"/>
  <c r="G29" i="11"/>
  <c r="F29" i="11"/>
  <c r="G30" i="11"/>
  <c r="F30" i="11"/>
  <c r="G31" i="11"/>
  <c r="F31" i="11"/>
  <c r="G32" i="11"/>
  <c r="F32" i="11"/>
  <c r="G33" i="11"/>
  <c r="F33" i="11"/>
  <c r="G34" i="11"/>
  <c r="F34" i="11"/>
  <c r="G35" i="11"/>
  <c r="F35" i="11"/>
  <c r="G36" i="11"/>
  <c r="F36" i="11"/>
  <c r="G37" i="11"/>
  <c r="F37" i="11"/>
  <c r="G38" i="11"/>
  <c r="F38" i="11"/>
  <c r="G39" i="11"/>
  <c r="F39" i="11"/>
  <c r="G40" i="11"/>
  <c r="F40" i="11"/>
  <c r="G41" i="11"/>
  <c r="F41" i="11"/>
  <c r="G42" i="11"/>
  <c r="F42" i="11"/>
  <c r="G47" i="11"/>
  <c r="F47" i="11"/>
  <c r="G48" i="11"/>
  <c r="F48" i="11"/>
  <c r="G49" i="11"/>
  <c r="F49" i="11"/>
  <c r="G50" i="11"/>
  <c r="F50" i="11"/>
  <c r="G52" i="11"/>
  <c r="F52" i="11"/>
  <c r="G53" i="11"/>
  <c r="F53" i="11"/>
  <c r="G54" i="11"/>
  <c r="F54" i="11"/>
  <c r="G55" i="11"/>
  <c r="F55" i="11"/>
  <c r="G57" i="11"/>
  <c r="F57" i="11"/>
  <c r="G58" i="11"/>
  <c r="F58" i="11"/>
  <c r="G59" i="11"/>
  <c r="F59" i="11"/>
  <c r="G60" i="11"/>
  <c r="F60" i="11"/>
  <c r="G61" i="11"/>
  <c r="B23" i="20" s="1"/>
  <c r="C23" i="20" s="1"/>
  <c r="F61" i="11"/>
  <c r="H2" i="11"/>
  <c r="H13" i="11"/>
  <c r="H18" i="11"/>
  <c r="H23" i="11"/>
  <c r="H43" i="11"/>
  <c r="H46" i="11"/>
  <c r="H56" i="11"/>
  <c r="H62" i="1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1" i="21"/>
  <c r="M422" i="21"/>
  <c r="M423" i="21"/>
  <c r="M424" i="21"/>
  <c r="M425" i="21"/>
  <c r="M426" i="21"/>
  <c r="M427" i="21"/>
  <c r="M428" i="21"/>
  <c r="M429" i="21"/>
  <c r="M430" i="21"/>
  <c r="M431" i="21"/>
  <c r="M432" i="21"/>
  <c r="M433" i="21"/>
  <c r="M434" i="21"/>
  <c r="M435" i="21"/>
  <c r="M436" i="21"/>
  <c r="M437" i="21"/>
  <c r="M438" i="21"/>
  <c r="M440" i="21"/>
  <c r="M441" i="21"/>
  <c r="M442" i="21"/>
  <c r="M443" i="21"/>
  <c r="M444" i="21"/>
  <c r="M445" i="21"/>
  <c r="M446" i="21"/>
  <c r="M447" i="21"/>
  <c r="M448" i="21"/>
  <c r="M449" i="21"/>
  <c r="M450" i="21"/>
  <c r="M451" i="21"/>
  <c r="M453" i="21"/>
  <c r="M454" i="21"/>
  <c r="M455" i="21"/>
  <c r="M456" i="21"/>
  <c r="M457" i="21"/>
  <c r="M458" i="21"/>
  <c r="M459" i="21"/>
  <c r="M460" i="21"/>
  <c r="M461" i="21"/>
  <c r="M2" i="21"/>
  <c r="E2" i="22"/>
  <c r="E3" i="22"/>
  <c r="E4" i="22"/>
  <c r="E5" i="22"/>
  <c r="E6" i="22"/>
  <c r="E7" i="22"/>
  <c r="E8" i="22"/>
  <c r="E9" i="22"/>
  <c r="E10" i="22"/>
  <c r="G2" i="24"/>
  <c r="G13" i="24"/>
  <c r="G10" i="24"/>
  <c r="G11" i="24"/>
  <c r="G12" i="24"/>
  <c r="G9" i="24"/>
  <c r="G5" i="24"/>
  <c r="G6" i="24"/>
  <c r="G7" i="24"/>
  <c r="G8" i="24"/>
  <c r="G3" i="24"/>
  <c r="G17" i="24"/>
  <c r="G18" i="24"/>
  <c r="G15" i="24"/>
  <c r="G16" i="24"/>
  <c r="G19" i="24"/>
  <c r="G21" i="24"/>
  <c r="G23" i="24"/>
  <c r="G22" i="24"/>
  <c r="G14" i="24"/>
  <c r="G20" i="24"/>
  <c r="G4" i="24"/>
  <c r="E27" i="24"/>
  <c r="E28" i="24"/>
  <c r="E32" i="24"/>
  <c r="E29" i="24"/>
  <c r="E30" i="24"/>
  <c r="E31" i="24"/>
  <c r="E34" i="24"/>
  <c r="B3" i="20"/>
  <c r="C3" i="20" s="1"/>
  <c r="C4" i="20"/>
  <c r="L3" i="10"/>
  <c r="M3" i="10"/>
  <c r="L4" i="10"/>
  <c r="M4" i="10"/>
  <c r="L5" i="10"/>
  <c r="M5" i="10"/>
  <c r="L7" i="10"/>
  <c r="M7" i="10"/>
  <c r="L8" i="10"/>
  <c r="M8" i="10"/>
  <c r="L9" i="10"/>
  <c r="M9" i="10"/>
  <c r="L10" i="10"/>
  <c r="M10" i="10"/>
  <c r="L11" i="10"/>
  <c r="M11" i="10"/>
  <c r="L13" i="10"/>
  <c r="M13" i="10"/>
  <c r="L14" i="10"/>
  <c r="M14" i="10"/>
  <c r="L15" i="10"/>
  <c r="M15" i="10"/>
  <c r="L16" i="10"/>
  <c r="M16" i="10"/>
  <c r="L18" i="10"/>
  <c r="M18" i="10"/>
  <c r="C7" i="20"/>
  <c r="C8" i="20"/>
  <c r="H2" i="12"/>
  <c r="H8" i="12"/>
  <c r="H13" i="12"/>
  <c r="H18" i="12"/>
  <c r="H22" i="12"/>
  <c r="H27" i="12"/>
  <c r="H108" i="12"/>
  <c r="B10" i="20"/>
  <c r="C10" i="20" s="1"/>
  <c r="G3" i="12"/>
  <c r="F3" i="12"/>
  <c r="I3" i="12"/>
  <c r="G4" i="12"/>
  <c r="F4" i="12"/>
  <c r="I4" i="12"/>
  <c r="G5" i="12"/>
  <c r="F5" i="12"/>
  <c r="I5" i="12"/>
  <c r="G6" i="12"/>
  <c r="F6" i="12"/>
  <c r="I6" i="12"/>
  <c r="G7" i="12"/>
  <c r="F7" i="12"/>
  <c r="I7" i="12"/>
  <c r="G9" i="12"/>
  <c r="F9" i="12"/>
  <c r="I9" i="12"/>
  <c r="G10" i="12"/>
  <c r="F10" i="12"/>
  <c r="I10" i="12"/>
  <c r="G11" i="12"/>
  <c r="F11" i="12"/>
  <c r="I11" i="12"/>
  <c r="G12" i="12"/>
  <c r="F12" i="12"/>
  <c r="I12" i="12"/>
  <c r="G14" i="12"/>
  <c r="F14" i="12"/>
  <c r="I14" i="12"/>
  <c r="G15" i="12"/>
  <c r="F15" i="12"/>
  <c r="I15" i="12"/>
  <c r="G16" i="12"/>
  <c r="F16" i="12"/>
  <c r="I16" i="12"/>
  <c r="G17" i="12"/>
  <c r="F17" i="12"/>
  <c r="I17" i="12"/>
  <c r="G19" i="12"/>
  <c r="F19" i="12"/>
  <c r="I19" i="12"/>
  <c r="G20" i="12"/>
  <c r="F20" i="12"/>
  <c r="I20" i="12"/>
  <c r="G21" i="12"/>
  <c r="F21" i="12"/>
  <c r="I21" i="12"/>
  <c r="G23" i="12"/>
  <c r="F23" i="12"/>
  <c r="I23" i="12"/>
  <c r="G24" i="12"/>
  <c r="F24" i="12"/>
  <c r="I24" i="12"/>
  <c r="G25" i="12"/>
  <c r="F25" i="12"/>
  <c r="I25" i="12"/>
  <c r="G26" i="12"/>
  <c r="F26" i="12"/>
  <c r="I26" i="12"/>
  <c r="G28" i="12"/>
  <c r="F28" i="12"/>
  <c r="I28" i="12"/>
  <c r="G29" i="12"/>
  <c r="F29" i="12"/>
  <c r="I29" i="12"/>
  <c r="G30" i="12"/>
  <c r="F30" i="12"/>
  <c r="I30" i="12"/>
  <c r="G31" i="12"/>
  <c r="F31" i="12"/>
  <c r="I31" i="12"/>
  <c r="G32" i="12"/>
  <c r="F32" i="12"/>
  <c r="I32" i="12"/>
  <c r="G33" i="12"/>
  <c r="F33" i="12"/>
  <c r="I33" i="12"/>
  <c r="G34" i="12"/>
  <c r="F34" i="12"/>
  <c r="I34" i="12"/>
  <c r="G35" i="12"/>
  <c r="F35" i="12"/>
  <c r="I35" i="12"/>
  <c r="G36" i="12"/>
  <c r="F36" i="12"/>
  <c r="I36" i="12"/>
  <c r="G37" i="12"/>
  <c r="F37" i="12"/>
  <c r="I37" i="12"/>
  <c r="G38" i="12"/>
  <c r="F38" i="12"/>
  <c r="I38" i="12"/>
  <c r="G39" i="12"/>
  <c r="F39" i="12"/>
  <c r="I39" i="12"/>
  <c r="G40" i="12"/>
  <c r="F40" i="12"/>
  <c r="I40" i="12"/>
  <c r="G41" i="12"/>
  <c r="F41" i="12"/>
  <c r="I41" i="12"/>
  <c r="G42" i="12"/>
  <c r="F42" i="12"/>
  <c r="I42" i="12"/>
  <c r="G43" i="12"/>
  <c r="F43" i="12"/>
  <c r="I43" i="12"/>
  <c r="G44" i="12"/>
  <c r="F44" i="12"/>
  <c r="I44" i="12"/>
  <c r="G45" i="12"/>
  <c r="F45" i="12"/>
  <c r="I45" i="12"/>
  <c r="G46" i="12"/>
  <c r="F46" i="12"/>
  <c r="I46" i="12"/>
  <c r="G47" i="12"/>
  <c r="F47" i="12"/>
  <c r="I47" i="12"/>
  <c r="G48" i="12"/>
  <c r="F48" i="12"/>
  <c r="I48" i="12"/>
  <c r="G49" i="12"/>
  <c r="F49" i="12"/>
  <c r="I49" i="12"/>
  <c r="G50" i="12"/>
  <c r="F50" i="12"/>
  <c r="I50" i="12"/>
  <c r="G51" i="12"/>
  <c r="F51" i="12"/>
  <c r="I51" i="12"/>
  <c r="G52" i="12"/>
  <c r="F52" i="12"/>
  <c r="I52" i="12"/>
  <c r="G53" i="12"/>
  <c r="F53" i="12"/>
  <c r="I53" i="12"/>
  <c r="G54" i="12"/>
  <c r="F54" i="12"/>
  <c r="I54" i="12"/>
  <c r="G55" i="12"/>
  <c r="F55" i="12"/>
  <c r="I55" i="12"/>
  <c r="G56" i="12"/>
  <c r="F56" i="12"/>
  <c r="I56" i="12"/>
  <c r="G57" i="12"/>
  <c r="F57" i="12"/>
  <c r="I57" i="12"/>
  <c r="G58" i="12"/>
  <c r="F58" i="12"/>
  <c r="I58" i="12"/>
  <c r="G59" i="12"/>
  <c r="F59" i="12"/>
  <c r="I59" i="12"/>
  <c r="G60" i="12"/>
  <c r="F60" i="12"/>
  <c r="I60" i="12"/>
  <c r="G61" i="12"/>
  <c r="F61" i="12"/>
  <c r="I61" i="12"/>
  <c r="G62" i="12"/>
  <c r="F62" i="12"/>
  <c r="I62" i="12"/>
  <c r="G63" i="12"/>
  <c r="F63" i="12"/>
  <c r="I63" i="12"/>
  <c r="G64" i="12"/>
  <c r="F64" i="12"/>
  <c r="I64" i="12"/>
  <c r="G65" i="12"/>
  <c r="F65" i="12"/>
  <c r="I65" i="12"/>
  <c r="G66" i="12"/>
  <c r="F66" i="12"/>
  <c r="I66" i="12"/>
  <c r="G67" i="12"/>
  <c r="F67" i="12"/>
  <c r="I67" i="12"/>
  <c r="G68" i="12"/>
  <c r="F68" i="12"/>
  <c r="I68" i="12"/>
  <c r="G69" i="12"/>
  <c r="F69" i="12"/>
  <c r="I69" i="12"/>
  <c r="G70" i="12"/>
  <c r="F70" i="12"/>
  <c r="I70" i="12"/>
  <c r="G71" i="12"/>
  <c r="F71" i="12"/>
  <c r="I71" i="12"/>
  <c r="G72" i="12"/>
  <c r="F72" i="12"/>
  <c r="I72" i="12"/>
  <c r="G73" i="12"/>
  <c r="F73" i="12"/>
  <c r="I73" i="12"/>
  <c r="G74" i="12"/>
  <c r="F74" i="12"/>
  <c r="I74" i="12"/>
  <c r="G75" i="12"/>
  <c r="F75" i="12"/>
  <c r="I75" i="12"/>
  <c r="G76" i="12"/>
  <c r="F76" i="12"/>
  <c r="I76" i="12"/>
  <c r="G77" i="12"/>
  <c r="F77" i="12"/>
  <c r="I77" i="12"/>
  <c r="G78" i="12"/>
  <c r="F78" i="12"/>
  <c r="I78" i="12"/>
  <c r="G79" i="12"/>
  <c r="F79" i="12"/>
  <c r="I79" i="12"/>
  <c r="G80" i="12"/>
  <c r="F80" i="12"/>
  <c r="I80" i="12"/>
  <c r="G81" i="12"/>
  <c r="F81" i="12"/>
  <c r="I81" i="12"/>
  <c r="G82" i="12"/>
  <c r="F82" i="12"/>
  <c r="I82" i="12"/>
  <c r="G83" i="12"/>
  <c r="F83" i="12"/>
  <c r="I83" i="12"/>
  <c r="G84" i="12"/>
  <c r="F84" i="12"/>
  <c r="I84" i="12"/>
  <c r="G85" i="12"/>
  <c r="F85" i="12"/>
  <c r="I85" i="12"/>
  <c r="G86" i="12"/>
  <c r="F86" i="12"/>
  <c r="I86" i="12"/>
  <c r="G87" i="12"/>
  <c r="F87" i="12"/>
  <c r="I87" i="12"/>
  <c r="G88" i="12"/>
  <c r="F88" i="12"/>
  <c r="I88" i="12"/>
  <c r="G89" i="12"/>
  <c r="F89" i="12"/>
  <c r="I89" i="12"/>
  <c r="G90" i="12"/>
  <c r="F90" i="12"/>
  <c r="I90" i="12"/>
  <c r="G91" i="12"/>
  <c r="F91" i="12"/>
  <c r="I91" i="12"/>
  <c r="G92" i="12"/>
  <c r="F92" i="12"/>
  <c r="I92" i="12"/>
  <c r="G93" i="12"/>
  <c r="F93" i="12"/>
  <c r="I93" i="12"/>
  <c r="G94" i="12"/>
  <c r="F94" i="12"/>
  <c r="I94" i="12"/>
  <c r="G95" i="12"/>
  <c r="F95" i="12"/>
  <c r="I95" i="12"/>
  <c r="G96" i="12"/>
  <c r="F96" i="12"/>
  <c r="I96" i="12"/>
  <c r="G97" i="12"/>
  <c r="F97" i="12"/>
  <c r="I97" i="12"/>
  <c r="G98" i="12"/>
  <c r="F98" i="12"/>
  <c r="I98" i="12"/>
  <c r="G99" i="12"/>
  <c r="F99" i="12"/>
  <c r="I99" i="12"/>
  <c r="G100" i="12"/>
  <c r="F100" i="12"/>
  <c r="I100" i="12"/>
  <c r="G101" i="12"/>
  <c r="F101" i="12"/>
  <c r="I101" i="12"/>
  <c r="G102" i="12"/>
  <c r="F102" i="12"/>
  <c r="I102" i="12"/>
  <c r="G103" i="12"/>
  <c r="F103" i="12"/>
  <c r="I103" i="12"/>
  <c r="G104" i="12"/>
  <c r="F104" i="12"/>
  <c r="I104" i="12"/>
  <c r="G105" i="12"/>
  <c r="F105" i="12"/>
  <c r="I105" i="12"/>
  <c r="G106" i="12"/>
  <c r="F106" i="12"/>
  <c r="I106" i="12"/>
  <c r="I108" i="12"/>
  <c r="B11" i="20"/>
  <c r="C11" i="20" s="1"/>
  <c r="G2" i="18"/>
  <c r="G3" i="18"/>
  <c r="G4" i="18"/>
  <c r="G5" i="18"/>
  <c r="G6" i="18"/>
  <c r="G7" i="18"/>
  <c r="G8" i="18"/>
  <c r="G9" i="18"/>
  <c r="G10" i="18"/>
  <c r="G11" i="18"/>
  <c r="G12" i="18"/>
  <c r="G13" i="18"/>
  <c r="G14" i="18"/>
  <c r="G15" i="18"/>
  <c r="G16" i="18"/>
  <c r="G17" i="18"/>
  <c r="G18" i="18"/>
  <c r="G19" i="18"/>
  <c r="C14" i="20"/>
  <c r="E2" i="16"/>
  <c r="F2" i="16"/>
  <c r="E3" i="16"/>
  <c r="F3" i="16"/>
  <c r="E4" i="16"/>
  <c r="F4" i="16"/>
  <c r="E5" i="16"/>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E21" i="16"/>
  <c r="F21" i="16"/>
  <c r="F22" i="16"/>
  <c r="B15" i="20"/>
  <c r="C15" i="20" s="1"/>
  <c r="G3" i="23"/>
  <c r="G4" i="23"/>
  <c r="G5" i="23"/>
  <c r="G6" i="23"/>
  <c r="G7" i="23"/>
  <c r="G8" i="23"/>
  <c r="G9" i="23"/>
  <c r="G10" i="23"/>
  <c r="G11" i="23"/>
  <c r="G12" i="23"/>
  <c r="G13" i="23"/>
  <c r="G14" i="23"/>
  <c r="G15" i="23"/>
  <c r="G16" i="23"/>
  <c r="G17" i="23"/>
  <c r="G20" i="23"/>
  <c r="E2" i="1"/>
  <c r="E3" i="1"/>
  <c r="E4" i="1"/>
  <c r="E5" i="1"/>
  <c r="E6" i="1"/>
  <c r="E7" i="1"/>
  <c r="E8" i="1"/>
  <c r="E9" i="1"/>
  <c r="E10" i="1"/>
  <c r="E11" i="1"/>
  <c r="E12" i="1"/>
  <c r="E13" i="1"/>
  <c r="E14" i="1"/>
  <c r="E15" i="1"/>
  <c r="E16" i="1"/>
  <c r="E17" i="1"/>
  <c r="E18" i="1"/>
  <c r="E19" i="1"/>
  <c r="E20" i="1"/>
  <c r="E21" i="1"/>
  <c r="E23" i="1"/>
  <c r="B17" i="20"/>
  <c r="C17" i="20" s="1"/>
  <c r="G2" i="13"/>
  <c r="F2" i="13"/>
  <c r="H2" i="13"/>
  <c r="G3" i="13"/>
  <c r="F3" i="13"/>
  <c r="H3" i="13"/>
  <c r="G4" i="13"/>
  <c r="F4" i="13"/>
  <c r="H4" i="13"/>
  <c r="G5" i="13"/>
  <c r="F5" i="13"/>
  <c r="H5" i="13"/>
  <c r="G6" i="13"/>
  <c r="F6" i="13"/>
  <c r="H6" i="13"/>
  <c r="G7" i="13"/>
  <c r="F7" i="13"/>
  <c r="H7" i="13"/>
  <c r="G8" i="13"/>
  <c r="F8" i="13"/>
  <c r="H8" i="13"/>
  <c r="H10" i="13"/>
  <c r="B21" i="20"/>
  <c r="C21" i="20" s="1"/>
  <c r="B22" i="20"/>
  <c r="C22" i="20" s="1"/>
  <c r="C25" i="20"/>
  <c r="F24" i="16"/>
  <c r="F25" i="16"/>
  <c r="F26" i="16"/>
  <c r="F27" i="16"/>
  <c r="F28" i="16"/>
  <c r="F29" i="16"/>
  <c r="F30" i="16"/>
  <c r="F32" i="16"/>
  <c r="B26" i="20"/>
  <c r="C26" i="20" s="1"/>
  <c r="F2" i="14"/>
  <c r="H2" i="14"/>
  <c r="F3" i="14"/>
  <c r="H3" i="14"/>
  <c r="F4" i="14"/>
  <c r="H4" i="14"/>
  <c r="F5" i="14"/>
  <c r="H5" i="14"/>
  <c r="F6" i="14"/>
  <c r="H6" i="14"/>
  <c r="F7" i="14"/>
  <c r="H7" i="14"/>
  <c r="H9" i="14"/>
  <c r="B27" i="20"/>
  <c r="C27" i="20" s="1"/>
  <c r="C28" i="20"/>
  <c r="D103" i="17"/>
  <c r="B34" i="20" s="1"/>
  <c r="C34" i="20" s="1"/>
  <c r="C35" i="20"/>
  <c r="E3" i="6"/>
  <c r="K3" i="6"/>
  <c r="L3" i="6"/>
  <c r="E4" i="6"/>
  <c r="K4" i="6"/>
  <c r="L4" i="6"/>
  <c r="E5" i="6"/>
  <c r="M5" i="6" s="1"/>
  <c r="K5" i="6"/>
  <c r="L5" i="6"/>
  <c r="E6" i="6"/>
  <c r="K6" i="6"/>
  <c r="L6" i="6"/>
  <c r="E7" i="6"/>
  <c r="K7" i="6"/>
  <c r="L7" i="6"/>
  <c r="E8" i="6"/>
  <c r="K8" i="6"/>
  <c r="L8" i="6"/>
  <c r="E9" i="6"/>
  <c r="M9" i="6" s="1"/>
  <c r="K9" i="6"/>
  <c r="L9" i="6"/>
  <c r="E10" i="6"/>
  <c r="K10" i="6"/>
  <c r="L10" i="6"/>
  <c r="E11" i="6"/>
  <c r="K11" i="6"/>
  <c r="L11" i="6"/>
  <c r="E12" i="6"/>
  <c r="K12" i="6"/>
  <c r="L12" i="6"/>
  <c r="E14" i="6"/>
  <c r="M14" i="6" s="1"/>
  <c r="K14" i="6"/>
  <c r="L14" i="6"/>
  <c r="E15" i="6"/>
  <c r="K15" i="6"/>
  <c r="L15" i="6"/>
  <c r="E16" i="6"/>
  <c r="K16" i="6"/>
  <c r="L16" i="6"/>
  <c r="E17" i="6"/>
  <c r="K17" i="6"/>
  <c r="L17" i="6"/>
  <c r="E19" i="6"/>
  <c r="M19" i="6" s="1"/>
  <c r="K19" i="6"/>
  <c r="L19" i="6"/>
  <c r="E20" i="6"/>
  <c r="K20" i="6"/>
  <c r="L20" i="6"/>
  <c r="E21" i="6"/>
  <c r="K21" i="6"/>
  <c r="L21" i="6"/>
  <c r="E22" i="6"/>
  <c r="K22" i="6"/>
  <c r="L22" i="6"/>
  <c r="E23" i="6"/>
  <c r="M23" i="6" s="1"/>
  <c r="K23" i="6"/>
  <c r="L23" i="6"/>
  <c r="E24" i="6"/>
  <c r="K24" i="6"/>
  <c r="L24" i="6"/>
  <c r="E25" i="6"/>
  <c r="K25" i="6"/>
  <c r="L25" i="6"/>
  <c r="E26" i="6"/>
  <c r="K26" i="6"/>
  <c r="L26" i="6"/>
  <c r="E27" i="6"/>
  <c r="M27" i="6" s="1"/>
  <c r="K27" i="6"/>
  <c r="L27" i="6"/>
  <c r="E28" i="6"/>
  <c r="K28" i="6"/>
  <c r="L28" i="6"/>
  <c r="E29" i="6"/>
  <c r="K29" i="6"/>
  <c r="L29" i="6"/>
  <c r="E30" i="6"/>
  <c r="K30" i="6"/>
  <c r="L30" i="6"/>
  <c r="E31" i="6"/>
  <c r="M31" i="6" s="1"/>
  <c r="K31" i="6"/>
  <c r="L31" i="6"/>
  <c r="E32" i="6"/>
  <c r="K32" i="6"/>
  <c r="L32" i="6"/>
  <c r="E33" i="6"/>
  <c r="K33" i="6"/>
  <c r="L33" i="6"/>
  <c r="E34" i="6"/>
  <c r="K34" i="6"/>
  <c r="L34" i="6"/>
  <c r="E35" i="6"/>
  <c r="M35" i="6" s="1"/>
  <c r="K35" i="6"/>
  <c r="L35" i="6"/>
  <c r="E36" i="6"/>
  <c r="K36" i="6"/>
  <c r="L36" i="6"/>
  <c r="E38" i="6"/>
  <c r="K38" i="6"/>
  <c r="M38" i="6" s="1"/>
  <c r="L38" i="6"/>
  <c r="E39" i="6"/>
  <c r="M39" i="6" s="1"/>
  <c r="K39" i="6"/>
  <c r="L39" i="6"/>
  <c r="E40" i="6"/>
  <c r="M40" i="6" s="1"/>
  <c r="K40" i="6"/>
  <c r="L40" i="6"/>
  <c r="K41" i="6"/>
  <c r="M41" i="6" s="1"/>
  <c r="L41" i="6"/>
  <c r="E42" i="6"/>
  <c r="M42" i="6" s="1"/>
  <c r="K42" i="6"/>
  <c r="L42" i="6"/>
  <c r="G3" i="14"/>
  <c r="G4" i="14"/>
  <c r="G5" i="14"/>
  <c r="G6" i="14"/>
  <c r="G7" i="14"/>
  <c r="G2" i="14"/>
  <c r="B30" i="20" l="1"/>
  <c r="C30" i="20" s="1"/>
  <c r="B28" i="19"/>
  <c r="B37" i="19"/>
  <c r="B27" i="19"/>
  <c r="B29" i="19"/>
  <c r="B31" i="19"/>
  <c r="B30" i="19"/>
  <c r="B26" i="19"/>
  <c r="B35" i="19"/>
  <c r="B36" i="19"/>
  <c r="I90" i="5"/>
  <c r="B12" i="20" s="1"/>
  <c r="C12" i="20" s="1"/>
  <c r="I136" i="30"/>
  <c r="B16" i="20"/>
  <c r="C16" i="20" s="1"/>
  <c r="B33" i="20"/>
  <c r="C33" i="20" s="1"/>
  <c r="B24" i="20"/>
  <c r="C24" i="20" s="1"/>
  <c r="E12" i="22"/>
  <c r="B1" i="20" s="1"/>
  <c r="C1" i="20" s="1"/>
  <c r="G25" i="24"/>
  <c r="B2" i="20" s="1"/>
  <c r="C2" i="20" s="1"/>
  <c r="M36" i="6"/>
  <c r="M34" i="6"/>
  <c r="M30" i="6"/>
  <c r="M26" i="6"/>
  <c r="M22" i="6"/>
  <c r="M17" i="6"/>
  <c r="M12" i="6"/>
  <c r="M8" i="6"/>
  <c r="M4" i="6"/>
  <c r="M28" i="6"/>
  <c r="M24" i="6"/>
  <c r="M20" i="6"/>
  <c r="M15" i="6"/>
  <c r="M10" i="6"/>
  <c r="M6" i="6"/>
  <c r="M32" i="6"/>
  <c r="M33" i="6"/>
  <c r="M29" i="6"/>
  <c r="M25" i="6"/>
  <c r="M21" i="6"/>
  <c r="M16" i="6"/>
  <c r="M11" i="6"/>
  <c r="M7" i="6"/>
  <c r="M3" i="6"/>
  <c r="B6" i="20" l="1"/>
  <c r="C6" i="20" s="1"/>
  <c r="I135" i="30"/>
  <c r="M44" i="6"/>
  <c r="B36" i="20" s="1"/>
  <c r="C36" i="20" s="1"/>
  <c r="L470" i="21"/>
  <c r="B31" i="20" s="1"/>
  <c r="C31" i="20" s="1"/>
  <c r="C38" i="20" l="1"/>
</calcChain>
</file>

<file path=xl/sharedStrings.xml><?xml version="1.0" encoding="utf-8"?>
<sst xmlns="http://schemas.openxmlformats.org/spreadsheetml/2006/main" count="14400" uniqueCount="6213">
  <si>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</si>
  <si>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</si>
  <si>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</si>
  <si>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</si>
  <si>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</si>
  <si>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</si>
  <si>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</si>
  <si>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</si>
  <si>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</si>
  <si>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</si>
  <si>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</si>
  <si>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</si>
  <si>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</si>
  <si>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</si>
  <si>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</si>
  <si>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</si>
  <si>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</si>
  <si>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</si>
  <si>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</si>
  <si>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</si>
  <si>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</si>
  <si>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</si>
  <si>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</si>
  <si>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</si>
  <si>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</si>
  <si>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</si>
  <si>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</si>
  <si>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</si>
  <si>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</si>
  <si>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</si>
  <si>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</si>
  <si>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</si>
  <si>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</si>
  <si>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</si>
  <si>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</si>
  <si>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</si>
  <si>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</si>
  <si>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</si>
  <si>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</si>
  <si>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</si>
  <si>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</si>
  <si>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</si>
  <si>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</si>
  <si>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</si>
  <si>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</si>
  <si>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</si>
  <si>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</si>
  <si>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</si>
  <si>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</si>
  <si>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</si>
  <si>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</si>
  <si>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</si>
  <si>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</si>
  <si>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</si>
  <si>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</si>
  <si>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</si>
  <si>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</si>
  <si>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</si>
  <si>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</si>
  <si>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</si>
  <si>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</si>
  <si>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</si>
  <si>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</si>
  <si>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</si>
  <si>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</si>
  <si>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</si>
  <si>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</si>
  <si>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</si>
  <si>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</si>
  <si>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</si>
  <si>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</si>
  <si>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</si>
  <si>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</si>
  <si>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</si>
  <si>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</si>
  <si>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</si>
  <si>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</si>
  <si>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</si>
  <si>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</si>
  <si>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</si>
  <si>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</si>
  <si>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</si>
  <si>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</si>
  <si>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</si>
  <si>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</si>
  <si>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</si>
  <si>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</si>
  <si>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</si>
  <si>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</si>
  <si>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</si>
  <si>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</si>
  <si>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</si>
  <si>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</si>
  <si>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</si>
  <si>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</si>
  <si>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</si>
  <si>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</si>
  <si>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</si>
  <si>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</si>
  <si>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</si>
  <si>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</si>
  <si>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</si>
  <si>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</si>
  <si>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</si>
  <si>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</si>
  <si>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</si>
  <si>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</si>
  <si>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</si>
  <si>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</si>
  <si>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</si>
  <si>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</si>
  <si>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</si>
  <si>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</si>
  <si>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</si>
  <si>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</si>
  <si>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</si>
  <si>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</si>
  <si>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</si>
  <si>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</si>
  <si>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</si>
  <si>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</si>
  <si>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</si>
  <si>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</si>
  <si>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</si>
  <si>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</si>
  <si>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</si>
  <si>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</si>
  <si>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</si>
  <si>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</si>
  <si>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</si>
  <si>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</si>
  <si>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</si>
  <si>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</si>
  <si>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</si>
  <si>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</si>
  <si>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</si>
  <si>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</si>
  <si>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</si>
  <si>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</si>
  <si>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</si>
  <si>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</si>
  <si>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</si>
  <si>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</si>
  <si>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</si>
  <si>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</si>
  <si>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</si>
  <si>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</si>
  <si>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</si>
  <si>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</si>
  <si>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</si>
  <si>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</si>
  <si>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</si>
  <si>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</si>
  <si>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</si>
  <si>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</si>
  <si>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</si>
  <si>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</si>
  <si>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</si>
  <si>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</si>
  <si>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</si>
  <si>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 de la terre</t>
  </si>
  <si>
    <t>Génasi du feu</t>
  </si>
  <si>
    <t>Moine</t>
  </si>
  <si>
    <t>Ki</t>
  </si>
  <si>
    <t>Capacités</t>
  </si>
  <si>
    <t>1d4</t>
  </si>
  <si>
    <t>1d6</t>
  </si>
  <si>
    <t>Amélioration de caractéristiques</t>
  </si>
  <si>
    <t>Pureté du corps</t>
  </si>
  <si>
    <t>1d8</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</si>
  <si>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</si>
  <si>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</si>
  <si>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</si>
  <si>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</si>
  <si>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</si>
  <si>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</si>
  <si>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</si>
  <si>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</si>
  <si>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</si>
  <si>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</si>
  <si>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</si>
  <si>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</si>
  <si>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</si>
  <si>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</si>
  <si>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</si>
  <si>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</si>
  <si>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</si>
  <si>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</si>
  <si>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</si>
  <si>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</si>
  <si>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</si>
  <si>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</si>
  <si>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</si>
  <si>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</si>
  <si>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</si>
  <si>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</si>
  <si>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</si>
  <si>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Frappes de ki</t>
  </si>
  <si>
    <t>À partir du niveau 6, vos attaques à mains nues sont considérées comme des attaques magiques pour ce qui est de vaincre la résistance et l'immunité aux attaques et dégâts non-magiques.</t>
  </si>
  <si>
    <t>Dérobade</t>
  </si>
  <si>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</si>
  <si>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</si>
  <si>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</si>
  <si>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</si>
  <si>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</si>
  <si>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</si>
  <si>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Au niveau 20, lorsque vous lancez l'initiative et n'avez plus de points de ki disponibles, vous regagnez 4 points ki.</t>
  </si>
  <si>
    <t>Voie de la main ouverte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</si>
  <si>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</si>
  <si>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</si>
  <si>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</si>
  <si>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</si>
  <si>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</si>
  <si>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</si>
  <si>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</si>
  <si>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</si>
  <si>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</si>
  <si>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</si>
  <si>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</si>
  <si>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</si>
  <si>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</si>
  <si>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</si>
  <si>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</si>
  <si>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</si>
  <si>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</si>
  <si>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</si>
  <si>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</si>
  <si>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Bonus de maitrise</t>
  </si>
  <si>
    <t>Arts Martiaux</t>
  </si>
  <si>
    <t>Mouvement sans armure</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</si>
  <si>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</si>
  <si>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</si>
  <si>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</si>
  <si>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</si>
  <si>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</si>
  <si>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</si>
  <si>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</si>
  <si>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</si>
  <si>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</si>
  <si>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</si>
  <si>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</si>
  <si>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</si>
  <si>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</si>
  <si>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</si>
  <si>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</si>
  <si>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</si>
  <si>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</si>
  <si>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</si>
  <si>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</si>
  <si>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</si>
  <si>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</si>
  <si>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</si>
  <si>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</si>
  <si>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</si>
  <si>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</si>
  <si>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</si>
  <si>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</si>
  <si>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</si>
  <si>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</si>
  <si>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</si>
  <si>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</si>
  <si>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</si>
  <si>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</si>
  <si>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</si>
  <si>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</si>
  <si>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</si>
  <si>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</si>
  <si>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</si>
  <si>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</si>
  <si>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</si>
  <si>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</si>
  <si>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</si>
  <si>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</si>
  <si>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</si>
  <si>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</si>
  <si>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</si>
  <si>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</si>
  <si>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</si>
  <si>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</si>
  <si>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</si>
  <si>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</si>
  <si>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</si>
  <si>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</si>
  <si>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</si>
  <si>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</si>
  <si>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</si>
  <si>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</si>
  <si>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</si>
  <si>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</si>
  <si>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</si>
  <si>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</si>
  <si>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</si>
  <si>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</si>
  <si>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</si>
  <si>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</si>
  <si>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</si>
  <si>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</si>
  <si>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</si>
  <si>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</si>
  <si>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</si>
  <si>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</si>
  <si>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</si>
  <si>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</si>
  <si>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</si>
  <si>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</si>
  <si>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</si>
  <si>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</si>
  <si>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</si>
  <si>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</si>
  <si>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</si>
  <si>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</si>
  <si>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</si>
  <si>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</si>
  <si>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</si>
  <si>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</si>
  <si>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</si>
  <si>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</si>
  <si>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</si>
  <si>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</si>
  <si>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</si>
  <si>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</si>
  <si>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</si>
  <si>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</si>
  <si>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</si>
  <si>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</si>
  <si>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</si>
  <si>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</si>
  <si>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</si>
  <si>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</si>
  <si>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</si>
  <si>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</si>
  <si>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</si>
  <si>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</si>
  <si>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</si>
  <si>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</si>
  <si>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</si>
  <si>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</si>
  <si>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</si>
  <si>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</si>
  <si>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</si>
  <si>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</si>
  <si>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</si>
  <si>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</si>
  <si>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</si>
  <si>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</si>
  <si>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</si>
  <si>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</si>
  <si>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</si>
  <si>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</si>
  <si>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</si>
  <si>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</si>
  <si>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</si>
  <si>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</si>
  <si>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</si>
  <si>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</si>
  <si>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</si>
  <si>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</si>
  <si>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</si>
  <si>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</si>
  <si>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</si>
  <si>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</si>
  <si>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</si>
  <si>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</si>
  <si>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</si>
  <si>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</si>
  <si>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</si>
  <si>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</si>
  <si>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</si>
  <si>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</si>
  <si>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</si>
  <si>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</si>
  <si>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</si>
  <si>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</si>
  <si>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</si>
  <si>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</si>
  <si>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</si>
  <si>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</si>
  <si>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</si>
  <si>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</si>
  <si>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</si>
  <si>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</si>
  <si>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</si>
  <si>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</si>
  <si>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</si>
  <si>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</si>
  <si>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</si>
  <si>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</si>
  <si>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</si>
  <si>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</si>
  <si>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</si>
  <si>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</si>
  <si>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</si>
  <si>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</si>
  <si>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</si>
  <si>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</si>
  <si>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</si>
  <si>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</si>
  <si>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</si>
  <si>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</si>
  <si>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</si>
  <si>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</si>
  <si>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</si>
  <si>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</si>
  <si>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</si>
  <si>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</si>
  <si>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</si>
  <si>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</si>
  <si>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</si>
  <si>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</si>
  <si>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</si>
  <si>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</si>
  <si>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</si>
  <si>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</si>
  <si>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</si>
  <si>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</si>
  <si>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</si>
  <si>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</si>
  <si>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</si>
  <si>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</si>
  <si>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</si>
  <si>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</si>
  <si>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</si>
  <si>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</si>
  <si>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</si>
  <si>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</si>
  <si>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</si>
  <si>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</si>
  <si>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</si>
  <si>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</si>
  <si>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</si>
  <si>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</si>
  <si>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</si>
  <si>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</si>
  <si>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</si>
  <si>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</si>
  <si>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</si>
  <si>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</si>
  <si>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</si>
  <si>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</si>
  <si>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</si>
  <si>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</si>
  <si>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</si>
  <si>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</si>
  <si>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</si>
  <si>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</si>
  <si>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</si>
  <si>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</si>
  <si>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</si>
  <si>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</si>
  <si>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</si>
  <si>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</si>
  <si>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</si>
  <si>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</si>
  <si>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</si>
  <si>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</si>
  <si>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</si>
  <si>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</si>
  <si>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</si>
  <si>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</si>
  <si>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</si>
  <si>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</si>
  <si>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</si>
  <si>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</si>
  <si>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</si>
  <si>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</si>
  <si>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</si>
  <si>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</si>
  <si>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</si>
  <si>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</si>
  <si>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</si>
  <si>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</si>
  <si>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</si>
  <si>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</si>
  <si>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</si>
  <si>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</si>
  <si>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</si>
  <si>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</si>
  <si>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</si>
  <si>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</si>
  <si>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</si>
  <si>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</si>
  <si>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</si>
  <si>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</si>
  <si>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</si>
  <si>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</si>
  <si>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</si>
  <si>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</si>
  <si>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</si>
  <si>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</si>
  <si>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</si>
  <si>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</si>
  <si>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</si>
  <si>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</si>
  <si>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</si>
  <si>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</si>
  <si>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</si>
  <si>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</si>
  <si>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</si>
  <si>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</si>
  <si>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</si>
  <si>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</si>
  <si>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</si>
  <si>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</si>
  <si>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</si>
  <si>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</si>
  <si>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</si>
  <si>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</si>
  <si>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</si>
  <si>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</si>
  <si>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</si>
  <si>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</si>
  <si>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</si>
  <si>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</si>
  <si>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</si>
  <si>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</si>
  <si>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</si>
  <si>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</si>
  <si>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</si>
  <si>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</si>
  <si>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</si>
  <si>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</si>
  <si>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</si>
  <si>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</si>
  <si>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</si>
  <si>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</si>
  <si>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</si>
  <si>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</si>
  <si>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</si>
  <si>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</si>
  <si>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</si>
  <si>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</si>
  <si>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</si>
  <si>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</si>
  <si>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</si>
  <si>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</si>
  <si>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</si>
  <si>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</si>
  <si>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</si>
  <si>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</si>
  <si>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</si>
  <si>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</si>
  <si>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</si>
  <si>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</si>
  <si>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</si>
  <si>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</si>
  <si>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</si>
  <si>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</si>
  <si>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</si>
  <si>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</si>
  <si>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</si>
  <si>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</si>
  <si>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</si>
  <si>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</si>
  <si>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</si>
  <si>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</si>
  <si>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</si>
  <si>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</si>
  <si>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</si>
  <si>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</si>
  <si>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</si>
  <si>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</si>
  <si>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</si>
  <si>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</si>
  <si>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</si>
  <si>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</si>
  <si>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</si>
  <si>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</si>
  <si>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</si>
  <si>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</si>
  <si>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</si>
  <si>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</si>
  <si>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</si>
  <si>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</si>
  <si>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</si>
  <si>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</si>
  <si>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</si>
  <si>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</si>
  <si>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</si>
  <si>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</si>
  <si>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</si>
  <si>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</si>
  <si>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</si>
  <si>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</si>
  <si>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</si>
  <si>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</si>
  <si>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</si>
  <si>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</si>
  <si>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</si>
  <si>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</si>
  <si>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</si>
  <si>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</si>
  <si>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</si>
  <si>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</si>
  <si>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</si>
  <si>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</si>
  <si>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</si>
  <si>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</si>
  <si>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</si>
  <si>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</si>
  <si>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</si>
  <si>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</si>
  <si>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</si>
  <si>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</si>
  <si>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</si>
  <si>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</si>
  <si>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</si>
  <si>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</si>
  <si>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</si>
  <si>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</si>
  <si>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</si>
  <si>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</si>
  <si>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</si>
  <si>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</si>
  <si>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</si>
  <si>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</si>
  <si>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</si>
  <si>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</si>
  <si>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</si>
  <si>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</si>
  <si>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</si>
  <si>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</si>
  <si>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</si>
  <si>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</si>
  <si>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</si>
  <si>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</si>
  <si>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</si>
  <si>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</si>
  <si>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</si>
  <si>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</si>
  <si>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</si>
  <si>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</si>
  <si>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</si>
  <si>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</si>
  <si>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</si>
  <si>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</si>
  <si>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</si>
  <si>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</si>
  <si>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</si>
  <si>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</si>
  <si>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</si>
  <si>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</si>
  <si>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</si>
  <si>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</si>
  <si>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</si>
  <si>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</si>
  <si>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</si>
  <si>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</si>
  <si>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</si>
  <si>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</si>
  <si>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</si>
  <si>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</si>
  <si>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</si>
  <si>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</si>
  <si>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</si>
  <si>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</si>
  <si>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</si>
  <si>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</si>
  <si>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</si>
  <si>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</si>
  <si>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</si>
  <si>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</si>
  <si>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</si>
  <si>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</si>
  <si>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</si>
  <si>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</si>
  <si>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</si>
  <si>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</si>
  <si>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</si>
  <si>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</si>
  <si>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</si>
  <si>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</si>
  <si>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</si>
  <si>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</si>
  <si>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</si>
  <si>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</si>
  <si>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</si>
  <si>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</si>
  <si>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</si>
  <si>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</si>
  <si>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</si>
  <si>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</si>
  <si>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</si>
  <si>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</si>
  <si>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</si>
  <si>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</si>
  <si>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</si>
  <si>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</si>
  <si>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</si>
  <si>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</si>
  <si>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</si>
  <si>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</si>
  <si>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</si>
  <si>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</si>
  <si>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</si>
  <si>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</si>
  <si>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</si>
  <si>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</si>
  <si>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</si>
  <si>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</si>
  <si>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</si>
  <si>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</si>
  <si>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</si>
  <si>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</si>
  <si>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</si>
  <si>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</si>
  <si>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</si>
  <si>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</si>
  <si>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</si>
  <si>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</si>
  <si>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</si>
  <si>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</si>
  <si>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</si>
  <si>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</si>
  <si>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</si>
  <si>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</si>
  <si>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</si>
  <si>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</si>
  <si>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</si>
  <si>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</si>
  <si>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</si>
  <si>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</si>
  <si>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</si>
  <si>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</si>
  <si>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</si>
  <si>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</si>
  <si>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</si>
  <si>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</si>
  <si>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</si>
  <si>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</si>
  <si>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</si>
  <si>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</si>
  <si>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</si>
  <si>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</si>
  <si>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</si>
  <si>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</si>
  <si>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</si>
  <si>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</si>
  <si>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</si>
  <si>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</si>
  <si>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</si>
  <si>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</si>
  <si>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</si>
  <si>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</si>
  <si>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</si>
  <si>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</si>
  <si>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</si>
  <si>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</si>
  <si>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</si>
  <si>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</si>
  <si>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</si>
  <si>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</si>
  <si>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</si>
  <si>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</si>
  <si>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</si>
  <si>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</si>
  <si>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</si>
  <si>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</si>
  <si>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</si>
  <si>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</si>
  <si>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</si>
  <si>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</si>
  <si>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</si>
  <si>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</si>
  <si>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</si>
  <si>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</si>
  <si>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</si>
  <si>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</si>
  <si>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</si>
  <si>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</si>
  <si>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</si>
  <si>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</si>
  <si>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</si>
  <si>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</si>
  <si>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</si>
  <si>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</si>
  <si>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</si>
  <si>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</si>
  <si>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</si>
  <si>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</si>
  <si>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</si>
  <si>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</si>
  <si>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</si>
  <si>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</si>
  <si>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</si>
  <si>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</si>
  <si>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</si>
  <si>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</si>
  <si>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</si>
  <si>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</si>
  <si>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</si>
  <si>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</si>
  <si>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</si>
  <si>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</si>
  <si>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</si>
  <si>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</si>
  <si>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</si>
  <si>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</si>
  <si>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</si>
  <si>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</si>
  <si>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</si>
  <si>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</si>
  <si>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</si>
  <si>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</si>
  <si>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</si>
  <si>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</si>
  <si>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</si>
  <si>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</si>
  <si>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</si>
  <si>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</si>
  <si>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</si>
  <si>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</si>
  <si>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</si>
  <si>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</si>
  <si>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</si>
  <si>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</si>
  <si>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</si>
  <si>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</si>
  <si>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</si>
  <si>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</si>
  <si>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</si>
  <si>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</si>
  <si>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</si>
  <si>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</si>
  <si>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</si>
  <si>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</si>
  <si>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</si>
  <si>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</si>
  <si>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</si>
  <si>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</si>
  <si>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</si>
  <si>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</si>
  <si>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</si>
  <si>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</si>
  <si>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</si>
  <si>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</si>
  <si>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</si>
  <si>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</si>
  <si>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</si>
  <si>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</si>
  <si>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</si>
  <si>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</si>
  <si>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</si>
  <si>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</si>
  <si>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</si>
  <si>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</si>
  <si>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</si>
  <si>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</si>
  <si>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</si>
  <si>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</si>
  <si>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</si>
  <si>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</si>
  <si>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</si>
  <si>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</si>
  <si>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</si>
  <si>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</si>
  <si>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</si>
  <si>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</si>
  <si>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</si>
  <si>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</si>
  <si>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</si>
  <si>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</si>
  <si>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</si>
  <si>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</si>
  <si>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</si>
  <si>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</si>
  <si>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</si>
  <si>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</si>
  <si>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</si>
  <si>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</si>
  <si>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</si>
  <si>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</si>
  <si>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</si>
  <si>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</si>
  <si>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</si>
  <si>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</si>
  <si>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</si>
  <si>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</si>
  <si>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</si>
  <si>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</si>
  <si>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</si>
  <si>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</si>
  <si>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</si>
  <si>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</si>
  <si>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</si>
  <si>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</si>
  <si>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</si>
  <si>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</si>
  <si>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</si>
  <si>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</si>
  <si>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</si>
  <si>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</si>
  <si>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</si>
  <si>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</si>
  <si>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</si>
  <si>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</si>
  <si>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</si>
  <si>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</si>
  <si>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</si>
  <si>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</si>
  <si>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</si>
  <si>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</si>
  <si>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</si>
  <si>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</si>
  <si>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</si>
  <si>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</si>
  <si>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</si>
  <si>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</si>
  <si>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</si>
  <si>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</si>
  <si>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</si>
  <si>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</si>
  <si>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</si>
  <si>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</si>
  <si>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</si>
  <si>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</si>
  <si>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</si>
  <si>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</si>
  <si>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</si>
  <si>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</si>
  <si>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</si>
  <si>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</si>
  <si>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</si>
  <si>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</si>
  <si>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</si>
  <si>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</si>
  <si>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</si>
  <si>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</si>
  <si>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</si>
  <si>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</si>
  <si>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</si>
  <si>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</si>
  <si>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</si>
  <si>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</si>
  <si>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</si>
  <si>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</si>
  <si>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</si>
  <si>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</si>
  <si>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</si>
  <si>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</si>
  <si>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</si>
  <si>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</si>
  <si>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</si>
  <si>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</si>
  <si>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</si>
  <si>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</si>
  <si>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</si>
  <si>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</si>
  <si>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</si>
  <si>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</si>
  <si>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</si>
  <si>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</si>
  <si>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</si>
  <si>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</si>
  <si>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</si>
  <si>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</si>
  <si>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</si>
  <si>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</si>
  <si>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</si>
  <si>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</si>
  <si>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</si>
  <si>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</si>
  <si>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</si>
  <si>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</si>
  <si>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</si>
  <si>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</si>
  <si>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</si>
  <si>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</si>
  <si>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</si>
  <si>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</si>
  <si>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</si>
  <si>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</si>
  <si>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</si>
  <si>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</si>
  <si>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</si>
  <si>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</si>
  <si>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</si>
  <si>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</si>
  <si>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</si>
  <si>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</si>
  <si>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</si>
  <si>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</si>
  <si>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</si>
  <si>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</si>
  <si>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</si>
  <si>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</si>
  <si>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</si>
  <si>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</si>
  <si>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</si>
  <si>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</si>
  <si>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</si>
  <si>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</si>
  <si>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</si>
  <si>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</si>
  <si>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</si>
  <si>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</si>
  <si>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</si>
  <si>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</si>
  <si>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Voie primitive</t>
  </si>
  <si>
    <t>Points de sorcellerie</t>
  </si>
  <si>
    <t>2d6</t>
  </si>
  <si>
    <t>Archétype de roublard</t>
  </si>
  <si>
    <t>3d6</t>
  </si>
  <si>
    <t>4d6</t>
  </si>
  <si>
    <t>5d6</t>
  </si>
  <si>
    <t>6d6</t>
  </si>
  <si>
    <t>7d6</t>
  </si>
  <si>
    <t>8d6</t>
  </si>
  <si>
    <t>Esprit impénétrable</t>
  </si>
  <si>
    <t>9d6</t>
  </si>
  <si>
    <t>10d6</t>
  </si>
  <si>
    <t>Attaque sournoise</t>
  </si>
  <si>
    <t>Niveau d'emplacement</t>
  </si>
  <si>
    <t>Invocations connues</t>
  </si>
  <si>
    <t>Emplacements de sort</t>
  </si>
  <si>
    <t>Sorts connus</t>
  </si>
  <si>
    <t>Sorts mineurs connus</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</si>
  <si>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</si>
  <si>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</si>
  <si>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</si>
  <si>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</si>
  <si>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</si>
  <si>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</si>
  <si>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</si>
  <si>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</si>
  <si>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</si>
  <si>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</si>
  <si>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</si>
  <si>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</si>
  <si>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</si>
  <si>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</si>
  <si>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</si>
  <si>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</si>
  <si>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</si>
  <si>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</si>
  <si>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</si>
  <si>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</si>
  <si>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</si>
  <si>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</si>
  <si>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</si>
  <si>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</si>
  <si>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</si>
  <si>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</si>
  <si>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</si>
  <si>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</si>
  <si>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</si>
  <si>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</si>
  <si>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</si>
  <si>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</si>
  <si>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</si>
  <si>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</si>
  <si>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</si>
  <si>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</si>
  <si>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</si>
  <si>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</si>
  <si>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</si>
  <si>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</si>
  <si>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</si>
  <si>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</si>
  <si>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</si>
  <si>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</si>
  <si>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</si>
  <si>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</si>
  <si>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</si>
  <si>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</si>
  <si>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</si>
  <si>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</si>
  <si>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</si>
  <si>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</si>
  <si>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</si>
  <si>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</si>
  <si>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</si>
  <si>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</si>
  <si>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</si>
  <si>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</si>
  <si>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</si>
  <si>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</si>
  <si>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</si>
  <si>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</si>
  <si>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</si>
  <si>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</si>
  <si>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</si>
  <si>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</si>
  <si>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</si>
  <si>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</si>
  <si>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</si>
  <si>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</si>
  <si>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</si>
  <si>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</si>
  <si>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</si>
  <si>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</si>
  <si>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</si>
  <si>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</si>
  <si>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</si>
  <si>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</si>
  <si>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</si>
  <si>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</si>
  <si>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</si>
  <si>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</si>
  <si>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</si>
  <si>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</si>
  <si>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</si>
  <si>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</si>
  <si>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</si>
  <si>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</si>
  <si>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</si>
  <si>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</si>
  <si>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</si>
  <si>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</si>
  <si>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</si>
  <si>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</si>
  <si>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</si>
  <si>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</si>
  <si>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</si>
  <si>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</si>
  <si>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</si>
  <si>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</si>
  <si>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</si>
  <si>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</si>
  <si>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</si>
  <si>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</si>
  <si>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</si>
  <si>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</si>
  <si>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</si>
  <si>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</si>
  <si>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</si>
  <si>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</si>
  <si>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</si>
  <si>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</si>
  <si>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</si>
  <si>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</si>
  <si>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</si>
  <si>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</si>
  <si>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</si>
  <si>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</si>
  <si>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</si>
  <si>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</si>
  <si>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</si>
  <si>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</si>
  <si>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</si>
  <si>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</si>
  <si>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</si>
  <si>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</si>
  <si>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</si>
  <si>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</si>
  <si>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</si>
  <si>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</si>
  <si>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</si>
  <si>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</si>
  <si>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</si>
  <si>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</si>
  <si>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</si>
  <si>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</si>
  <si>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</si>
  <si>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</si>
  <si>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</si>
  <si>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</si>
  <si>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</si>
  <si>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</si>
  <si>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</si>
  <si>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</si>
  <si>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</si>
  <si>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</si>
  <si>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</si>
  <si>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</si>
  <si>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</si>
  <si>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</si>
  <si>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</si>
  <si>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</si>
  <si>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</si>
  <si>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</si>
  <si>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</si>
  <si>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</si>
  <si>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</si>
  <si>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</si>
  <si>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</si>
  <si>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</si>
  <si>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</si>
  <si>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</si>
  <si>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</si>
  <si>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</si>
  <si>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</si>
  <si>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</si>
  <si>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</si>
  <si>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</si>
  <si>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</si>
  <si>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</si>
  <si>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</si>
  <si>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</si>
  <si>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</si>
  <si>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</si>
  <si>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</si>
  <si>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</si>
  <si>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</si>
  <si>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</si>
  <si>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</si>
  <si>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</si>
  <si>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</si>
  <si>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</si>
  <si>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</si>
  <si>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</si>
  <si>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</si>
  <si>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</si>
  <si>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</si>
  <si>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</si>
  <si>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</si>
  <si>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</si>
  <si>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</si>
  <si>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</si>
  <si>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</si>
  <si>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</si>
  <si>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</si>
  <si>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</si>
  <si>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</si>
  <si>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</si>
  <si>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</si>
  <si>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</si>
  <si>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</si>
  <si>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</si>
  <si>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</si>
  <si>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</si>
  <si>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</si>
  <si>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</si>
  <si>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</si>
  <si>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</si>
  <si>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</si>
  <si>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</si>
  <si>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</si>
  <si>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</si>
  <si>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</si>
  <si>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</si>
  <si>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</si>
  <si>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</si>
  <si>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</si>
  <si>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</si>
  <si>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</si>
  <si>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</si>
  <si>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</si>
  <si>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</si>
  <si>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</si>
  <si>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</si>
  <si>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</si>
  <si>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</si>
  <si>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</si>
  <si>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</si>
  <si>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</si>
  <si>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</si>
  <si>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</si>
  <si>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</si>
  <si>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</si>
  <si>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</si>
  <si>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</si>
  <si>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</si>
  <si>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</si>
  <si>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</si>
  <si>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</si>
  <si>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</si>
  <si>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</si>
  <si>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</si>
  <si>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</si>
  <si>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</si>
  <si>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</si>
  <si>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</si>
  <si>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</si>
  <si>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</si>
  <si>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</si>
  <si>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</si>
  <si>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</si>
  <si>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</si>
  <si>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</si>
  <si>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</si>
  <si>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</si>
  <si>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</si>
  <si>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</si>
  <si>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</si>
  <si>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</si>
  <si>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</si>
  <si>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</si>
  <si>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</si>
  <si>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</si>
  <si>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</si>
  <si>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</si>
  <si>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</si>
  <si>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</si>
  <si>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</si>
  <si>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</si>
  <si>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</si>
  <si>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</si>
  <si>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</si>
  <si>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</si>
  <si>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</si>
  <si>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</si>
  <si>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</si>
  <si>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</si>
  <si>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</si>
  <si>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</si>
  <si>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</si>
  <si>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</si>
  <si>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</si>
  <si>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</si>
  <si>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</si>
  <si>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</si>
  <si>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</si>
  <si>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</si>
  <si>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</si>
  <si>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</si>
  <si>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</si>
  <si>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</si>
  <si>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</si>
  <si>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</si>
  <si>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</si>
  <si>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</si>
  <si>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</si>
  <si>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</si>
  <si>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</si>
  <si>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</si>
  <si>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</si>
  <si>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</si>
  <si>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</si>
  <si>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</si>
  <si>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</si>
  <si>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</si>
  <si>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</si>
  <si>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</si>
  <si>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</si>
  <si>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</si>
  <si>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</si>
  <si>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</si>
  <si>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</si>
  <si>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</si>
  <si>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</si>
  <si>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</si>
  <si>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</si>
  <si>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</si>
  <si>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</si>
  <si>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</si>
  <si>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</si>
  <si>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</si>
  <si>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</si>
  <si>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</si>
  <si>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</si>
  <si>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</si>
  <si>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</si>
  <si>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</si>
  <si>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</si>
  <si>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</si>
  <si>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</si>
  <si>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</si>
  <si>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</si>
  <si>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</si>
  <si>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</si>
  <si>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</si>
  <si>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</si>
  <si>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</si>
  <si>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</si>
  <si>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</si>
  <si>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</si>
  <si>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</si>
  <si>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</si>
  <si>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</si>
  <si>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</si>
  <si>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</si>
  <si>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</si>
  <si>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</si>
  <si>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</si>
  <si>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</si>
  <si>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</si>
  <si>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</si>
  <si>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</si>
  <si>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</si>
  <si>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</si>
  <si>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</si>
  <si>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</si>
  <si>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</si>
  <si>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</si>
  <si>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</si>
  <si>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</si>
  <si>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</si>
  <si>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</si>
  <si>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</si>
  <si>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</si>
  <si>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</si>
  <si>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</si>
  <si>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</si>
  <si>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</si>
  <si>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</si>
  <si>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</si>
  <si>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</si>
  <si>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</si>
  <si>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</si>
  <si>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</si>
  <si>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</si>
  <si>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</si>
  <si>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</si>
  <si>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</si>
  <si>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</si>
  <si>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</si>
  <si>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</si>
  <si>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</si>
  <si>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</si>
  <si>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</si>
  <si>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</si>
  <si>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</si>
  <si>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</si>
  <si>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</si>
  <si>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</si>
  <si>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</si>
  <si>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</si>
  <si>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</si>
  <si>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</si>
  <si>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</si>
  <si>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</si>
  <si>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</si>
  <si>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</si>
  <si>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</si>
  <si>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</si>
  <si>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</si>
  <si>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</si>
  <si>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</si>
  <si>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</si>
  <si>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</si>
  <si>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</si>
  <si>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</si>
  <si>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</si>
  <si>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</si>
  <si>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</si>
  <si>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</si>
  <si>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</si>
  <si>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</si>
  <si>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</si>
  <si>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</si>
  <si>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</si>
  <si>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</si>
  <si>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</si>
  <si>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</si>
  <si>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</si>
  <si>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</si>
  <si>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</si>
  <si>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</si>
  <si>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</si>
  <si>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</si>
  <si>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</si>
  <si>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</si>
  <si>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</si>
  <si>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</si>
  <si>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</si>
  <si>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</si>
  <si>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</si>
  <si>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</si>
  <si>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</si>
  <si>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</si>
  <si>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</si>
  <si>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</si>
  <si>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</si>
  <si>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</si>
  <si>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</si>
  <si>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</si>
  <si>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</si>
  <si>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</si>
  <si>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</si>
  <si>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</si>
  <si>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</si>
  <si>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</si>
  <si>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</si>
  <si>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</si>
  <si>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</si>
  <si>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</si>
  <si>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</si>
  <si>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</si>
  <si>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</si>
  <si>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</si>
  <si>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</si>
  <si>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</si>
  <si>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</si>
  <si>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</si>
  <si>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</si>
  <si>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</si>
  <si>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</si>
  <si>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</si>
  <si>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</si>
  <si>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</si>
  <si>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</si>
  <si>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</si>
  <si>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</si>
  <si>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</si>
  <si>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</si>
  <si>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</si>
  <si>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</si>
  <si>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</si>
  <si>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</si>
  <si>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</si>
  <si>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</si>
  <si>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</si>
  <si>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</si>
  <si>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</si>
  <si>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</si>
  <si>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</si>
  <si>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</si>
  <si>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</si>
  <si>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</si>
  <si>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</si>
  <si>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</si>
  <si>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</si>
  <si>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</si>
  <si>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</si>
  <si>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</si>
  <si>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</si>
  <si>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</si>
  <si>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</si>
  <si>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</si>
  <si>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</si>
  <si>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</si>
  <si>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</si>
  <si>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</si>
  <si>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</si>
  <si>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</si>
  <si>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</si>
  <si>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</si>
  <si>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</si>
  <si>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</si>
  <si>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</si>
  <si>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</si>
  <si>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</si>
  <si>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</si>
  <si>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</si>
  <si>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</si>
  <si>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</si>
  <si>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</si>
  <si>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</si>
  <si>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</si>
  <si>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</si>
  <si>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</si>
  <si>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</si>
  <si>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</si>
  <si>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</si>
  <si>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</si>
  <si>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</si>
  <si>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</si>
  <si>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</si>
  <si>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</si>
  <si>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</si>
  <si>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</si>
  <si>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</si>
  <si>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</si>
  <si>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</si>
  <si>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</si>
  <si>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</si>
  <si>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</si>
  <si>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</si>
  <si>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</si>
  <si>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</si>
  <si>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</si>
  <si>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</si>
  <si>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</si>
  <si>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</si>
  <si>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</si>
  <si>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</si>
  <si>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</si>
  <si>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</si>
  <si>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</si>
  <si>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</si>
  <si>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</si>
  <si>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</si>
  <si>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</si>
  <si>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</si>
  <si>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</si>
  <si>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</si>
  <si>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</si>
  <si>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</si>
  <si>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</si>
  <si>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</si>
  <si>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</si>
  <si>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</si>
  <si>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</si>
  <si>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</si>
  <si>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</si>
  <si>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</si>
  <si>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</si>
  <si>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</si>
  <si>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</si>
  <si>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</si>
  <si>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</si>
  <si>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</si>
  <si>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</si>
  <si>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</si>
  <si>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</si>
  <si>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</si>
  <si>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</si>
  <si>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</si>
  <si>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</si>
  <si>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</si>
  <si>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</si>
  <si>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</si>
  <si>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</si>
  <si>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</si>
  <si>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</si>
  <si>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</si>
  <si>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</si>
  <si>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</si>
  <si>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</si>
  <si>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</si>
  <si>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</si>
  <si>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</si>
  <si>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</si>
  <si>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</si>
  <si>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</si>
  <si>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</si>
  <si>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</si>
  <si>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</si>
  <si>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</si>
  <si>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</si>
  <si>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</si>
  <si>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</si>
  <si>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</si>
  <si>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</si>
  <si>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</si>
  <si>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</si>
  <si>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</si>
  <si>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</si>
  <si>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</si>
  <si>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</si>
  <si>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</si>
  <si>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</si>
  <si>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</si>
  <si>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</si>
  <si>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</si>
  <si>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</si>
  <si>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</si>
  <si>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</si>
  <si>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</si>
  <si>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</si>
  <si>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</si>
  <si>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</si>
  <si>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</si>
  <si>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</si>
  <si>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</si>
  <si>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</si>
  <si>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</si>
  <si>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</si>
  <si>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</si>
  <si>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</si>
  <si>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</si>
  <si>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</si>
  <si>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</si>
  <si>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</si>
  <si>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</si>
  <si>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</si>
  <si>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</si>
  <si>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</si>
  <si>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</si>
  <si>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</si>
  <si>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</si>
  <si>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</si>
  <si>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</si>
  <si>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</si>
  <si>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</si>
  <si>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</si>
  <si>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</si>
  <si>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</si>
  <si>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</si>
  <si>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</si>
  <si>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</si>
  <si>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</si>
  <si>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</si>
  <si>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</si>
  <si>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</si>
  <si>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</si>
  <si>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</si>
  <si>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</si>
  <si>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</si>
  <si>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</si>
  <si>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</si>
  <si>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</si>
  <si>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</si>
  <si>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</si>
  <si>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</si>
  <si>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</si>
  <si>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</si>
  <si>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</si>
  <si>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</si>
  <si>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</si>
  <si>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</si>
  <si>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</si>
  <si>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</si>
  <si>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</si>
  <si>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</si>
  <si>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</si>
  <si>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</si>
  <si>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</si>
  <si>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</si>
  <si>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</si>
  <si>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</si>
  <si>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</si>
  <si>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</si>
  <si>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</si>
  <si>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</si>
  <si>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</si>
  <si>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</si>
  <si>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</si>
  <si>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</si>
  <si>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</si>
  <si>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</si>
  <si>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</si>
  <si>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</si>
  <si>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</si>
  <si>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</si>
  <si>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</si>
  <si>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</si>
  <si>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</si>
  <si>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</si>
  <si>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</si>
  <si>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</si>
  <si>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</si>
  <si>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</si>
  <si>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</si>
  <si>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</si>
  <si>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</si>
  <si>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</si>
  <si>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</si>
  <si>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</si>
  <si>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</si>
  <si>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</si>
  <si>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</si>
  <si>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</si>
  <si>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</si>
  <si>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</si>
  <si>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</si>
  <si>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</si>
  <si>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</si>
  <si>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</si>
  <si>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</si>
  <si>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</si>
  <si>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</si>
  <si>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</si>
  <si>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</si>
  <si>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</si>
  <si>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</si>
  <si>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</si>
  <si>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</si>
  <si>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</si>
  <si>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</si>
  <si>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</si>
  <si>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</si>
  <si>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</si>
  <si>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</si>
  <si>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</si>
  <si>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</si>
  <si>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</si>
  <si>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</si>
  <si>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</si>
  <si>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</si>
  <si>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</si>
  <si>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</si>
  <si>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</si>
  <si>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</si>
  <si>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</si>
  <si>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</si>
  <si>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</si>
  <si>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</si>
  <si>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</si>
  <si>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</si>
  <si>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</si>
  <si>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</si>
  <si>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</si>
  <si>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</si>
  <si>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</si>
  <si>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</si>
  <si>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</si>
  <si>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</si>
  <si>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</si>
  <si>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</si>
  <si>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</si>
  <si>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</si>
  <si>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</si>
  <si>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</si>
  <si>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</si>
  <si>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</si>
  <si>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</si>
  <si>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</si>
  <si>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</si>
  <si>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</si>
  <si>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</si>
  <si>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</si>
  <si>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</si>
  <si>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</si>
  <si>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</si>
  <si>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</si>
  <si>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</si>
  <si>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</si>
  <si>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</si>
  <si>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</si>
  <si>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</si>
  <si>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</si>
  <si>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</si>
  <si>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</si>
  <si>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</si>
  <si>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</si>
  <si>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</si>
  <si>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</si>
  <si>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</si>
  <si>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</si>
  <si>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</si>
  <si>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</si>
  <si>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</si>
  <si>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</si>
  <si>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</si>
  <si>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</si>
  <si>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</si>
  <si>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</si>
  <si>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</si>
  <si>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</si>
  <si>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</si>
  <si>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</si>
  <si>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</si>
  <si>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</si>
  <si>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</si>
  <si>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</si>
  <si>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</si>
  <si>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</si>
  <si>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</si>
  <si>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</si>
  <si>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</si>
  <si>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</si>
  <si>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</si>
  <si>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</si>
  <si>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</si>
  <si>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</si>
  <si>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</si>
  <si>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</si>
  <si>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</si>
  <si>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</si>
  <si>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</si>
  <si>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</si>
  <si>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</si>
  <si>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</si>
  <si>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</si>
  <si>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</si>
  <si>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</si>
  <si>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</si>
  <si>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</si>
  <si>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</si>
  <si>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</si>
  <si>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</si>
  <si>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</si>
  <si>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</si>
  <si>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</si>
  <si>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</si>
  <si>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</si>
  <si>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</si>
  <si>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</si>
  <si>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</si>
  <si>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</si>
  <si>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</si>
  <si>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</si>
  <si>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</si>
  <si>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</si>
  <si>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</si>
  <si>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</si>
  <si>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</si>
  <si>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</si>
  <si>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</si>
  <si>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</si>
  <si>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</si>
  <si>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</si>
  <si>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</si>
  <si>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</si>
  <si>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</si>
  <si>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</si>
  <si>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</si>
  <si>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</si>
  <si>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</si>
  <si>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</si>
  <si>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</si>
  <si>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</si>
  <si>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</si>
  <si>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</si>
  <si>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</si>
  <si>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</si>
  <si>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</si>
  <si>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</si>
  <si>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</si>
  <si>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</si>
  <si>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</si>
  <si>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</si>
  <si>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</si>
  <si>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</si>
  <si>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</si>
  <si>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</si>
  <si>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</si>
  <si>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</si>
  <si>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</si>
  <si>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</si>
  <si>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</si>
  <si>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</si>
  <si>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</si>
  <si>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</si>
  <si>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</si>
  <si>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</si>
  <si>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</si>
  <si>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</si>
  <si>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</si>
  <si>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</si>
  <si>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</si>
  <si>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</si>
  <si>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</si>
  <si>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</si>
  <si>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</si>
  <si>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</si>
  <si>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</si>
  <si>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</si>
  <si>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</si>
  <si>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</si>
  <si>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</si>
  <si>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</si>
  <si>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</si>
  <si>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</si>
  <si>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</si>
  <si>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</si>
  <si>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</si>
  <si>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</si>
  <si>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</si>
  <si>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</si>
  <si>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</si>
  <si>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</si>
  <si>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</si>
  <si>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</si>
  <si>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</si>
  <si>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</si>
  <si>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</si>
  <si>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</si>
  <si>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</si>
  <si>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</si>
  <si>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</si>
  <si>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</si>
  <si>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</si>
  <si>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</si>
  <si>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</si>
  <si>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</si>
  <si>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</si>
  <si>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</si>
  <si>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</si>
  <si>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</si>
  <si>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</si>
  <si>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</si>
  <si>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</si>
  <si>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</si>
  <si>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</si>
  <si>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</si>
  <si>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</si>
  <si>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</si>
  <si>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</si>
  <si>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</si>
  <si>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</si>
  <si>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</si>
  <si>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</si>
  <si>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</si>
  <si>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</si>
  <si>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</si>
  <si>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</si>
  <si>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</si>
  <si>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</si>
  <si>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</si>
  <si>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</si>
  <si>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</si>
  <si>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</si>
  <si>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</si>
  <si>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</si>
  <si>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</si>
  <si>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</si>
  <si>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</si>
  <si>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</si>
  <si>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</si>
  <si>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</si>
  <si>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</si>
  <si>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</si>
  <si>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</si>
  <si>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</si>
  <si>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</si>
  <si>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</si>
  <si>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</si>
  <si>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</si>
  <si>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</si>
  <si>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</si>
  <si>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</si>
  <si>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</si>
  <si>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</si>
  <si>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</si>
  <si>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</si>
  <si>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</si>
  <si>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</si>
  <si>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</si>
  <si>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</si>
  <si>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</si>
  <si>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</si>
  <si>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</si>
  <si>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</si>
  <si>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</si>
  <si>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</si>
  <si>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</si>
  <si>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</si>
  <si>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</si>
  <si>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</si>
  <si>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</si>
  <si>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</si>
  <si>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</si>
  <si>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</si>
  <si>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</si>
  <si>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</si>
  <si>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</si>
  <si>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</si>
  <si>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</si>
  <si>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</si>
  <si>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</si>
  <si>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</si>
  <si>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</si>
  <si>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</si>
  <si>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</si>
  <si>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</si>
  <si>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</si>
  <si>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</si>
  <si>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</si>
  <si>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</si>
  <si>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</si>
  <si>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</si>
  <si>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</si>
  <si>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</si>
  <si>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</si>
  <si>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</si>
  <si>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</si>
  <si>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</si>
  <si>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</si>
  <si>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</si>
  <si>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</si>
  <si>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</si>
  <si>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</si>
  <si>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</si>
  <si>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</si>
  <si>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</si>
  <si>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</si>
  <si>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</si>
  <si>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</si>
  <si>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</si>
  <si>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</si>
  <si>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</si>
  <si>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</si>
  <si>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</si>
  <si>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</si>
  <si>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</si>
  <si>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</si>
  <si>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</si>
  <si>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</si>
  <si>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</si>
  <si>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</si>
  <si>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</si>
  <si>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</si>
  <si>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</si>
  <si>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</si>
  <si>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</si>
  <si>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</si>
  <si>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</si>
  <si>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</si>
  <si>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</si>
  <si>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</si>
  <si>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</si>
  <si>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</si>
  <si>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</si>
  <si>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</si>
  <si>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</si>
  <si>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</si>
  <si>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</si>
  <si>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</si>
  <si>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</si>
  <si>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</si>
  <si>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</si>
  <si>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</si>
  <si>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</si>
  <si>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</si>
  <si>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</si>
  <si>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</si>
  <si>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</si>
  <si>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</si>
  <si>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</si>
  <si>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</si>
  <si>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</si>
  <si>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</si>
  <si>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</si>
  <si>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</si>
  <si>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</si>
  <si>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</si>
  <si>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</si>
  <si>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</si>
  <si>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</si>
  <si>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</si>
  <si>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</si>
  <si>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</si>
  <si>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</si>
  <si>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</si>
  <si>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</si>
  <si>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</si>
  <si>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</si>
  <si>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</si>
  <si>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</si>
  <si>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</si>
  <si>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</si>
  <si>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</si>
  <si>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</si>
  <si>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</si>
  <si>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</si>
  <si>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</si>
  <si>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</si>
  <si>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</si>
  <si>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</si>
  <si>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</si>
  <si>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</si>
  <si>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</si>
  <si>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</si>
  <si>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</si>
  <si>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</si>
  <si>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</si>
  <si>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</si>
  <si>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</si>
  <si>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</si>
  <si>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</si>
  <si>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</si>
  <si>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</si>
  <si>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</si>
  <si>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</si>
  <si>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</si>
  <si>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</si>
  <si>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</si>
  <si>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</si>
  <si>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</si>
  <si>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</si>
  <si>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</si>
  <si>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</si>
  <si>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</si>
  <si>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</si>
  <si>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</si>
  <si>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</si>
  <si>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</si>
  <si>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</si>
  <si>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</si>
  <si>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</si>
  <si>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</si>
  <si>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</si>
  <si>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</si>
  <si>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</si>
  <si>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</si>
  <si>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</si>
  <si>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</si>
  <si>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</si>
  <si>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</si>
  <si>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</si>
  <si>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</si>
  <si>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</si>
  <si>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</si>
  <si>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</si>
  <si>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</si>
  <si>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</si>
  <si>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</si>
  <si>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</si>
  <si>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</si>
  <si>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</si>
  <si>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</si>
  <si>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</si>
  <si>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</si>
  <si>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</si>
  <si>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</si>
  <si>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</si>
  <si>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</si>
  <si>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</si>
  <si>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</si>
  <si>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</si>
  <si>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</si>
  <si>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</si>
  <si>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</si>
  <si>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</si>
  <si>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</si>
  <si>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</si>
  <si>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</si>
  <si>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</si>
  <si>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</si>
  <si>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</si>
  <si>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</si>
  <si>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</si>
  <si>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</si>
  <si>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</si>
  <si>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</si>
  <si>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</si>
  <si>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</si>
  <si>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</si>
  <si>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</si>
  <si>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</si>
  <si>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</si>
  <si>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</si>
  <si>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</si>
  <si>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</si>
  <si>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</si>
  <si>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</si>
  <si>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</si>
  <si>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</si>
  <si>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</si>
  <si>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</si>
  <si>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</si>
  <si>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</si>
  <si>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</si>
  <si>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</si>
  <si>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</si>
  <si>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</si>
  <si>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</si>
  <si>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</si>
  <si>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</si>
  <si>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</si>
  <si>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</si>
  <si>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</si>
  <si>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</si>
  <si>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</si>
  <si>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</si>
  <si>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</si>
  <si>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</si>
  <si>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</si>
  <si>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</si>
  <si>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</si>
  <si>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</si>
  <si>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</si>
  <si>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</si>
  <si>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</si>
  <si>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</si>
  <si>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</si>
  <si>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</si>
  <si>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</si>
  <si>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</si>
  <si>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</si>
  <si>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</si>
  <si>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</si>
  <si>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</si>
  <si>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</si>
  <si>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</si>
  <si>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</si>
  <si>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</si>
  <si>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</si>
  <si>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</si>
  <si>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</si>
  <si>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</si>
  <si>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</si>
  <si>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</si>
  <si>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</si>
  <si>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</si>
  <si>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</si>
  <si>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</si>
  <si>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</si>
  <si>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</si>
  <si>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</si>
  <si>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</si>
  <si>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</si>
  <si>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</si>
  <si>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</si>
  <si>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</si>
  <si>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</si>
  <si>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</si>
  <si>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</si>
  <si>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</si>
  <si>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</si>
  <si>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</si>
  <si>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</si>
  <si>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</si>
  <si>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</si>
  <si>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</si>
  <si>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</si>
  <si>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</si>
  <si>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</si>
  <si>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</si>
  <si>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</si>
  <si>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</si>
  <si>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</si>
  <si>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</si>
  <si>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</si>
  <si>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</si>
  <si>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</si>
  <si>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</si>
  <si>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</si>
  <si>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</si>
  <si>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</si>
  <si>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</si>
  <si>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</si>
  <si>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</si>
  <si>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</si>
  <si>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</si>
  <si>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</si>
  <si>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</si>
  <si>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</si>
  <si>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</si>
  <si>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</si>
  <si>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</si>
  <si>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</si>
  <si>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</si>
  <si>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</si>
  <si>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</si>
  <si>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</si>
  <si>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</si>
  <si>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</si>
  <si>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</si>
  <si>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</si>
  <si>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</si>
  <si>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</si>
  <si>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</si>
  <si>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</si>
  <si>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</si>
  <si>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</si>
  <si>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</si>
  <si>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</si>
  <si>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</si>
  <si>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</si>
  <si>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</si>
  <si>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</si>
  <si>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</si>
  <si>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</si>
  <si>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</si>
  <si>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</si>
  <si>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</si>
  <si>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</si>
  <si>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</si>
  <si>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</si>
  <si>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</si>
  <si>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</si>
  <si>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</si>
  <si>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</si>
  <si>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</si>
  <si>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</si>
  <si>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</si>
  <si>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</si>
  <si>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</si>
  <si>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</si>
  <si>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</si>
  <si>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</si>
  <si>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</si>
  <si>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</si>
  <si>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</si>
  <si>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</si>
  <si>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</si>
  <si>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</si>
  <si>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</si>
  <si>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</si>
  <si>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</si>
  <si>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</si>
  <si>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</si>
  <si>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</si>
  <si>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</si>
  <si>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</si>
  <si>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</si>
  <si>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</si>
  <si>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</si>
  <si>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</si>
  <si>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</si>
  <si>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</si>
  <si>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</si>
  <si>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</si>
  <si>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</si>
  <si>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</si>
  <si>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</si>
  <si>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</si>
  <si>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</si>
  <si>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</si>
  <si>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</si>
  <si>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</si>
  <si>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</si>
  <si>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</si>
  <si>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</si>
  <si>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</si>
  <si>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</si>
  <si>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</si>
  <si>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</si>
  <si>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</si>
  <si>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</si>
  <si>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</si>
  <si>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</si>
  <si>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</si>
  <si>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</si>
  <si>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</si>
  <si>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</si>
  <si>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</si>
  <si>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</si>
  <si>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</si>
  <si>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</si>
  <si>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</si>
  <si>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</si>
  <si>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</si>
  <si>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</si>
  <si>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</si>
  <si>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</si>
  <si>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</si>
  <si>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</si>
  <si>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</si>
  <si>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</si>
  <si>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</si>
  <si>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</si>
  <si>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</si>
  <si>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</si>
  <si>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</si>
  <si>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</si>
  <si>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</si>
  <si>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</si>
  <si>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</si>
  <si>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</si>
  <si>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</si>
  <si>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</si>
  <si>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</si>
  <si>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</si>
  <si>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</si>
  <si>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</si>
  <si>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</si>
  <si>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</si>
  <si>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</si>
  <si>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</si>
  <si>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</si>
  <si>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</si>
  <si>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</si>
  <si>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</si>
  <si>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</si>
  <si>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</si>
  <si>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</si>
  <si>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</si>
  <si>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</si>
  <si>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</si>
  <si>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</si>
  <si>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</si>
  <si>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</si>
  <si>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</si>
  <si>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</si>
  <si>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</si>
  <si>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</si>
  <si>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</si>
  <si>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</si>
  <si>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</si>
  <si>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</si>
  <si>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</si>
  <si>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</si>
  <si>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</si>
  <si>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</si>
  <si>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</si>
  <si>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</si>
  <si>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</si>
  <si>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</si>
  <si>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</si>
  <si>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</si>
  <si>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</si>
  <si>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</si>
  <si>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</si>
  <si>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</si>
  <si>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</si>
  <si>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</si>
  <si>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</si>
  <si>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</si>
  <si>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</si>
  <si>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</si>
  <si>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</si>
  <si>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</si>
  <si>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</si>
  <si>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</si>
  <si>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</si>
  <si>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</si>
  <si>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</si>
  <si>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</si>
  <si>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</si>
  <si>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</si>
  <si>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</si>
  <si>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</si>
  <si>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</si>
  <si>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</si>
  <si>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</si>
  <si>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</si>
  <si>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</si>
  <si>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</si>
  <si>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</si>
  <si>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</si>
  <si>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</si>
  <si>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</si>
  <si>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</si>
  <si>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</si>
  <si>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</si>
  <si>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</si>
  <si>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</si>
  <si>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</si>
  <si>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</si>
  <si>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</si>
  <si>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</si>
  <si>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</si>
  <si>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</si>
  <si>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</si>
  <si>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</si>
  <si>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</si>
  <si>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</si>
  <si>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</si>
  <si>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</si>
  <si>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</si>
  <si>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</si>
  <si>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</si>
  <si>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</si>
  <si>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</si>
  <si>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</si>
  <si>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</si>
  <si>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</si>
  <si>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</si>
  <si>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</si>
  <si>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</si>
  <si>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</si>
  <si>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</si>
  <si>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</si>
  <si>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</si>
  <si>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</si>
  <si>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</si>
  <si>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</si>
  <si>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</si>
  <si>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</si>
  <si>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</si>
  <si>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</si>
  <si>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</si>
  <si>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</si>
  <si>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</si>
  <si>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</si>
  <si>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</si>
  <si>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</si>
  <si>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</si>
  <si>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</si>
  <si>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</si>
  <si>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</si>
  <si>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</si>
  <si>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</si>
  <si>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</si>
  <si>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</si>
  <si>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</si>
  <si>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</si>
  <si>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</si>
  <si>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</si>
  <si>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</si>
  <si>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</si>
  <si>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</si>
  <si>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</si>
  <si>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</si>
  <si>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</si>
  <si>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</si>
  <si>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</si>
  <si>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</si>
  <si>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</si>
  <si>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</si>
  <si>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</si>
  <si>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</si>
  <si>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</si>
  <si>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</si>
  <si>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</si>
  <si>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</si>
  <si>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</si>
  <si>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</si>
  <si>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</si>
  <si>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</si>
  <si>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</si>
  <si>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</si>
  <si>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</si>
  <si>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</si>
  <si>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</si>
  <si>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</si>
  <si>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</si>
  <si>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</si>
  <si>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</si>
  <si>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</si>
  <si>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</si>
  <si>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</si>
  <si>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</si>
  <si>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</si>
  <si>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</si>
  <si>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</si>
  <si>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</si>
  <si>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</si>
  <si>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</si>
  <si>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</si>
  <si>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</si>
  <si>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</si>
  <si>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</si>
  <si>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</si>
  <si>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</si>
  <si>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</si>
  <si>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</si>
  <si>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</si>
  <si>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</si>
  <si>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</si>
  <si>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</si>
  <si>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</si>
  <si>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</si>
  <si>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</si>
  <si>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</si>
  <si>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</si>
  <si>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</si>
  <si>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</si>
  <si>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</si>
  <si>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</si>
  <si>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</si>
  <si>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</si>
  <si>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</si>
  <si>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</si>
  <si>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</si>
  <si>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</si>
  <si>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</si>
  <si>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</si>
  <si>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</si>
  <si>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</si>
  <si>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</si>
  <si>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</si>
  <si>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</si>
  <si>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</si>
  <si>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</si>
  <si>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</si>
  <si>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</si>
  <si>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</si>
  <si>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</si>
  <si>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</si>
  <si>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</si>
  <si>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</si>
  <si>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</si>
  <si>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</si>
  <si>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</si>
  <si>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</si>
  <si>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</si>
  <si>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</si>
  <si>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</si>
  <si>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</si>
  <si>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</si>
  <si>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</si>
  <si>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</si>
  <si>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</si>
  <si>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</si>
  <si>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</si>
  <si>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</si>
  <si>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</si>
  <si>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</si>
  <si>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</si>
  <si>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</si>
  <si>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</si>
  <si>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</si>
  <si>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</si>
  <si>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</si>
  <si>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</si>
  <si>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</si>
  <si>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</si>
  <si>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</si>
  <si>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</si>
  <si>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</si>
  <si>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</si>
  <si>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</si>
  <si>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</si>
  <si>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</si>
  <si>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</si>
  <si>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</si>
  <si>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</si>
  <si>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</si>
  <si>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</si>
  <si>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</si>
  <si>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</si>
  <si>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</si>
  <si>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</si>
  <si>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</si>
  <si>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</si>
  <si>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</si>
  <si>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</si>
  <si>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</si>
  <si>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</si>
  <si>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</si>
  <si>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</si>
  <si>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</si>
  <si>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</si>
  <si>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</si>
  <si>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</si>
  <si>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</si>
  <si>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</si>
  <si>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</si>
  <si>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</si>
  <si>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</si>
  <si>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</si>
  <si>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</si>
  <si>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</si>
  <si>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</si>
  <si>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</si>
  <si>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</si>
  <si>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</si>
  <si>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</si>
  <si>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</si>
  <si>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</si>
  <si>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</si>
  <si>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</si>
  <si>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</si>
  <si>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</si>
  <si>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</si>
  <si>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</si>
  <si>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</si>
  <si>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</si>
  <si>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</si>
  <si>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</si>
  <si>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</si>
  <si>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</si>
  <si>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</si>
  <si>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</si>
  <si>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</si>
  <si>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</si>
  <si>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</si>
  <si>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</si>
  <si>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</si>
  <si>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</si>
  <si>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</si>
  <si>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</si>
  <si>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</si>
  <si>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</si>
  <si>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</si>
  <si>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</si>
  <si>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</si>
  <si>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</si>
  <si>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</si>
  <si>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</si>
  <si>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</si>
  <si>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</si>
  <si>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</si>
  <si>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</si>
  <si>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</si>
  <si>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</si>
  <si>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</si>
  <si>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</si>
  <si>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</si>
  <si>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</si>
  <si>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</si>
  <si>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</si>
  <si>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</si>
  <si>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</si>
  <si>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</si>
  <si>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</si>
  <si>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</si>
  <si>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</si>
  <si>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</si>
  <si>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</si>
  <si>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</si>
  <si>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</si>
  <si>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</si>
  <si>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</si>
  <si>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</si>
  <si>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</si>
  <si>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</si>
  <si>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</si>
  <si>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</si>
  <si>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</si>
  <si>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</si>
  <si>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</si>
  <si>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</si>
  <si>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</si>
  <si>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</si>
  <si>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</si>
  <si>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</si>
  <si>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</si>
  <si>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</si>
  <si>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</si>
  <si>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</si>
  <si>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</si>
  <si>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</si>
  <si>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</si>
  <si>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</si>
  <si>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</si>
  <si>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</si>
  <si>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</si>
  <si>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</si>
  <si>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</si>
  <si>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</si>
  <si>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</si>
  <si>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</si>
  <si>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</si>
  <si>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</si>
  <si>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</si>
  <si>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</si>
  <si>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</si>
  <si>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</si>
  <si>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</si>
  <si>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</si>
  <si>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</si>
  <si>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</si>
  <si>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</si>
  <si>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</si>
  <si>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</si>
  <si>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Une créature assourdie n'entend pas et rate automatiquement tout jet de caractéristique qui nécessite l’ouïe.</t>
  </si>
  <si>
    <t>BLINDED</t>
  </si>
  <si>
    <t>Aveuglement</t>
  </si>
  <si>
    <t>Une créature aveuglée ne voit pas et rate automatiquement tout jet de caractéristique qui nécessite la vue.\nLes jets d'attaque contre la créature ont l'avantage, et les jets d'attaque de la créature ont un désavantage.</t>
  </si>
  <si>
    <t>RESTRAINED</t>
  </si>
  <si>
    <t>Entrave</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</si>
  <si>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</si>
  <si>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</si>
  <si>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</si>
  <si>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</si>
  <si>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</si>
  <si>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</si>
  <si>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</si>
  <si>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</si>
  <si>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</si>
  <si>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</si>
  <si>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</si>
  <si>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</si>
  <si>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</si>
  <si>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</si>
  <si>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</si>
  <si>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</si>
  <si>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</si>
  <si>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</si>
  <si>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</si>
  <si>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</si>
  <si>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</si>
  <si>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</si>
  <si>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</si>
  <si>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</si>
  <si>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</si>
  <si>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</si>
  <si>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</si>
  <si>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</si>
  <si>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</si>
  <si>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</si>
  <si>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</si>
  <si>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</si>
  <si>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</si>
  <si>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</si>
  <si>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</si>
  <si>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</si>
  <si>
    <t>null</t>
  </si>
  <si>
    <t>Spécialisation</t>
  </si>
  <si>
    <t>Niveau de spécialisation</t>
  </si>
  <si>
    <t>Collège  bardique</t>
  </si>
  <si>
    <t>Domaine divin</t>
  </si>
  <si>
    <t>Cercle druidique</t>
  </si>
  <si>
    <t>Origine magique</t>
  </si>
  <si>
    <t>Style de combat</t>
  </si>
  <si>
    <t>Tradiction arcanique</t>
  </si>
  <si>
    <t>Patron d'Outremonde</t>
  </si>
  <si>
    <t>CON</t>
  </si>
  <si>
    <t>SAG</t>
  </si>
  <si>
    <t>AmureBonus CA</t>
  </si>
  <si>
    <t>Bouclier Bonus CA</t>
  </si>
  <si>
    <t>Classe</t>
  </si>
  <si>
    <t>Voie du berserker</t>
  </si>
  <si>
    <t>Voie du guerrier totem</t>
  </si>
  <si>
    <t>Collège du savoir</t>
  </si>
  <si>
    <t>Collège de la vaillance</t>
  </si>
  <si>
    <t>Domaine de la duperie</t>
  </si>
  <si>
    <t>Domaine de la guerre</t>
  </si>
  <si>
    <t>Domaine de la lumière</t>
  </si>
  <si>
    <t>Domaine de la nature</t>
  </si>
  <si>
    <t>Domaine du savoir</t>
  </si>
  <si>
    <t>Domaine de la tempête</t>
  </si>
  <si>
    <t>Domaine de la vie</t>
  </si>
  <si>
    <t>Domaine de la forge</t>
  </si>
  <si>
    <t>BERSERKER</t>
  </si>
  <si>
    <t>TOTEM_WARRIOR</t>
  </si>
  <si>
    <t>BRAVERY_SCHOOL</t>
  </si>
  <si>
    <t>DECEPTION_FIELD</t>
  </si>
  <si>
    <t>WAR_FIELD</t>
  </si>
  <si>
    <t>LIGHT_FIELD</t>
  </si>
  <si>
    <t>NATURE_FIELD</t>
  </si>
  <si>
    <t>KNOWLEDGE_FIELD</t>
  </si>
  <si>
    <t>KNOWLEDGE_SCHOOL</t>
  </si>
  <si>
    <t>STORM_FIELD</t>
  </si>
  <si>
    <t>LIFE_FIELD</t>
  </si>
  <si>
    <t>FORGE_FIELD</t>
  </si>
  <si>
    <t>Cercle de la terre</t>
  </si>
  <si>
    <t>Cercle de la lune</t>
  </si>
  <si>
    <t>EARTH_GROUP</t>
  </si>
  <si>
    <t>MOON_GROUP</t>
  </si>
  <si>
    <t>Lignée draconique</t>
  </si>
  <si>
    <t>Magie sauvage</t>
  </si>
  <si>
    <t>WILD_MAGIC</t>
  </si>
  <si>
    <t>Archerie</t>
  </si>
  <si>
    <t>Arme à deux mains</t>
  </si>
  <si>
    <t>Combat à deux armes</t>
  </si>
  <si>
    <t>Défense</t>
  </si>
  <si>
    <t>Duel</t>
  </si>
  <si>
    <t>Protection</t>
  </si>
  <si>
    <t>WARRIOR_ARCHERY</t>
  </si>
  <si>
    <t>WARRIOR_TWO_HAND_WEAPON</t>
  </si>
  <si>
    <t>WARRIOR_TWO_HAND_FIGHT</t>
  </si>
  <si>
    <t>WARRIOR_DEFENSE</t>
  </si>
  <si>
    <t>WARRIOR_DUEL</t>
  </si>
  <si>
    <t>WARRIOR_PROTECTION</t>
  </si>
  <si>
    <t>Abjuration</t>
  </si>
  <si>
    <t>Enchantement</t>
  </si>
  <si>
    <t>Evocation</t>
  </si>
  <si>
    <t>Illusion</t>
  </si>
  <si>
    <t>Invocation</t>
  </si>
  <si>
    <t xml:space="preserve">Nécromancie </t>
  </si>
  <si>
    <t>Transmutation</t>
  </si>
  <si>
    <t>OPENED_HAND_WAY</t>
  </si>
  <si>
    <t>SHADOW_WAY</t>
  </si>
  <si>
    <t>ELEMENTS_WAY</t>
  </si>
  <si>
    <t>PALADIN_TWO_HAND_WEAPON</t>
  </si>
  <si>
    <t>PALADIN_DEFENSE</t>
  </si>
  <si>
    <t>PALADIN_DUEL</t>
  </si>
  <si>
    <t>PALADIN_PROTECTION</t>
  </si>
  <si>
    <t>PROWLER_ARCHERY</t>
  </si>
  <si>
    <t>PROWLER_TWO_HAND_FIGHT</t>
  </si>
  <si>
    <t>PROWLER_DEFENSE</t>
  </si>
  <si>
    <t>PROWLER_DUEL</t>
  </si>
  <si>
    <t>DIVINATION</t>
  </si>
  <si>
    <t>ENCHANTMENT</t>
  </si>
  <si>
    <t>EVOCATION</t>
  </si>
  <si>
    <t>INVOCATION</t>
  </si>
  <si>
    <t>NECROMANCY</t>
  </si>
  <si>
    <t>TRANSMUTATION</t>
  </si>
  <si>
    <t>Assassin</t>
  </si>
  <si>
    <t>Voleur</t>
  </si>
  <si>
    <t>Escroc arcanique</t>
  </si>
  <si>
    <t>Conspirateur</t>
  </si>
  <si>
    <t>ASSASSIN</t>
  </si>
  <si>
    <t>ROBBER</t>
  </si>
  <si>
    <t>ARCANE_SWINDLER</t>
  </si>
  <si>
    <t>CONSPIRATOR</t>
  </si>
  <si>
    <t>Archifée</t>
  </si>
  <si>
    <t>Fiélon</t>
  </si>
  <si>
    <t>Grand Ancien</t>
  </si>
  <si>
    <t>ARCHFAIRY</t>
  </si>
  <si>
    <t>FIENDISH</t>
  </si>
  <si>
    <t>GREAT_OLD</t>
  </si>
  <si>
    <t>Specialisations</t>
  </si>
  <si>
    <t>"BARD"</t>
  </si>
  <si>
    <t>"CLERK"</t>
  </si>
  <si>
    <t>"BARD", "CLERK"</t>
  </si>
  <si>
    <t xml:space="preserve"> "CLERK"</t>
  </si>
  <si>
    <t>"BARD",  "CLERK"</t>
  </si>
  <si>
    <t>"CLERK", "DRUID"</t>
  </si>
  <si>
    <t>"DRUID"</t>
  </si>
  <si>
    <t>"BARD", "DRUID"</t>
  </si>
  <si>
    <t>"BARD", "CLERK", "DRUID"</t>
  </si>
  <si>
    <t>"BARD",  "CLERK", "DRUID"</t>
  </si>
  <si>
    <t xml:space="preserve"> "CLERK", "DRUID"</t>
  </si>
  <si>
    <t>"SORCERER"</t>
  </si>
  <si>
    <t xml:space="preserve"> "CLERK", "DRUID", "SORCERER"</t>
  </si>
  <si>
    <t>"CLERK", "PALADIN"</t>
  </si>
  <si>
    <t>"PALADIN"</t>
  </si>
  <si>
    <t>"BARD", "PALADIN"</t>
  </si>
  <si>
    <t>"BARD",  "CLERK", "PALADIN"</t>
  </si>
  <si>
    <t xml:space="preserve"> "CLERK", "PALADIN"</t>
  </si>
  <si>
    <t>"BARD", "DRUID", "PROWLER"</t>
  </si>
  <si>
    <t>"DRUID", "PROWLER"</t>
  </si>
  <si>
    <t>"CLERK", "DRUID", "PALADIN", "PROWLER"</t>
  </si>
  <si>
    <t>"PROWLER"</t>
  </si>
  <si>
    <t xml:space="preserve"> "CLERK", "DRUID", "PROWLER"</t>
  </si>
  <si>
    <t>"BARD",  "CLERK", "PROWLER"</t>
  </si>
  <si>
    <t xml:space="preserve"> "CLERK", "DRUID", "SORCERER", "PALADIN", "PROWLER"</t>
  </si>
  <si>
    <t>"WIZARD"</t>
  </si>
  <si>
    <t>"DRUID", "WIZARD"</t>
  </si>
  <si>
    <t>"DRUID", "SORCERER", "WIZARD"</t>
  </si>
  <si>
    <t>"BARD", "WIZARD"</t>
  </si>
  <si>
    <t>Agrandissement-Rapetissement</t>
  </si>
  <si>
    <t>Cécité-Surdité</t>
  </si>
  <si>
    <t>Répulsion-Attirance</t>
  </si>
  <si>
    <t>ILLUSION</t>
  </si>
  <si>
    <t>ABJURATION</t>
  </si>
  <si>
    <t>Composants de véhicules</t>
  </si>
  <si>
    <t>Vehicles relative</t>
  </si>
  <si>
    <t>Various</t>
  </si>
  <si>
    <t>Equipment</t>
  </si>
  <si>
    <t>Equipement</t>
  </si>
  <si>
    <t>EQUIPMENT</t>
  </si>
  <si>
    <t>"Rage", "Défense sans armure"</t>
  </si>
  <si>
    <t>"Attaque téméraire", "Sens du danger"</t>
  </si>
  <si>
    <t>"Voie primitive"</t>
  </si>
  <si>
    <t>"Amélioration de caractéristiques"</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</si>
  <si>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</si>
  <si>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</si>
  <si>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</si>
  <si>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</si>
  <si>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</si>
  <si>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</si>
  <si>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</si>
  <si>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</si>
  <si>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</si>
  <si>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</si>
  <si>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"Patron d'Outremonde", "Magie de pacte"</t>
  </si>
  <si>
    <t>"Invocations occultes"</t>
  </si>
  <si>
    <t>"Faveur de pacte"</t>
  </si>
  <si>
    <t>"-"</t>
  </si>
  <si>
    <t>"Capacité de patron d'Outremonde"</t>
  </si>
  <si>
    <t>"Arcanum mystique (niveau 6)"</t>
  </si>
  <si>
    <t>"Arcanum mystique (niveau 7)"</t>
  </si>
  <si>
    <t>"Arcanum mystique (niveau 8)"</t>
  </si>
  <si>
    <t>"Arcanum mystique (niveau 9)"</t>
  </si>
  <si>
    <t>"Maître de l'occulte"</t>
  </si>
  <si>
    <t>"Expertise", "Attaque sournoise", "Jargon des voleurs"</t>
  </si>
  <si>
    <t>"Ruse"</t>
  </si>
  <si>
    <t>"Archétype de roublard"</t>
  </si>
  <si>
    <t>"Esquive instinctive"</t>
  </si>
  <si>
    <t>"Expertise"</t>
  </si>
  <si>
    <t>"Dérobade"</t>
  </si>
  <si>
    <t>"Capacité de l'archétype de roublard"</t>
  </si>
  <si>
    <t>"Talent"</t>
  </si>
  <si>
    <t>"Ouïe fine"</t>
  </si>
  <si>
    <t>"Esprit impénétrable"</t>
  </si>
  <si>
    <t>"Insaisissable"</t>
  </si>
  <si>
    <t>"Coup de chance"</t>
  </si>
  <si>
    <t>"Ennemi juré", "Explorateur-né"</t>
  </si>
  <si>
    <t>"Style de combat", "Incantations"</t>
  </si>
  <si>
    <t>"Archétype de rôdeur", "Sens primitifs"</t>
  </si>
  <si>
    <t>"Attaque supplémentaire"</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</si>
  <si>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</si>
  <si>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</si>
  <si>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</si>
  <si>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</si>
  <si>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</si>
  <si>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</si>
  <si>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</si>
  <si>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</si>
  <si>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</si>
  <si>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</si>
  <si>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</si>
  <si>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</si>
  <si>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</si>
  <si>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</si>
  <si>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</si>
  <si>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</si>
  <si>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"Défense sans armure", "Arts martiaux"</t>
  </si>
  <si>
    <t>"Amélioration de caractéristiques", "Chute ralentie"</t>
  </si>
  <si>
    <t>"Attaque supplémentaire", "Frappe étourdissante"</t>
  </si>
  <si>
    <t>"Frappes de ki", "Capacité de la tradition monastique"</t>
  </si>
  <si>
    <t>"Dérobade", "Tranquillité de l'esprit"</t>
  </si>
  <si>
    <t>"Déplacement sans armure amélioré"</t>
  </si>
  <si>
    <t>"Pureté du corps"</t>
  </si>
  <si>
    <t>"Capacité de la tradition monastique"</t>
  </si>
  <si>
    <t>"Langage du soleil et de la lune"</t>
  </si>
  <si>
    <t>"Âme de diamant"</t>
  </si>
  <si>
    <t>"Jeunesse éternelle"</t>
  </si>
  <si>
    <t>"Corps vide"</t>
  </si>
  <si>
    <t>"Perfection de l'être"</t>
  </si>
  <si>
    <t>"Incantations", "Récupération arcanique"</t>
  </si>
  <si>
    <t>"Tradition arcanique"</t>
  </si>
  <si>
    <t>"Capacité de la tradition arcanique"</t>
  </si>
  <si>
    <t>"Maîtrise des sorts"</t>
  </si>
  <si>
    <t>"Sorts de prédilection"</t>
  </si>
  <si>
    <t>"Style de combat", "Second souffle"</t>
  </si>
  <si>
    <t>"Archétype martial"</t>
  </si>
  <si>
    <t>"Attaque supplémentaire (1)"</t>
  </si>
  <si>
    <t>"Capacité de l'archétype martial"</t>
  </si>
  <si>
    <t>"Attaque supplémentaire (2)"</t>
  </si>
  <si>
    <t>"Attaque supplémentaire (3)"</t>
  </si>
  <si>
    <t>"Incantations", "Origine magique"</t>
  </si>
  <si>
    <t>"Source de magie"</t>
  </si>
  <si>
    <t>"Métamagie"</t>
  </si>
  <si>
    <t>"Capacité de l'origine magique"</t>
  </si>
  <si>
    <t>"Restauration magique"</t>
  </si>
  <si>
    <t>"Druidique", "Incantations"</t>
  </si>
  <si>
    <t>"Forme sauvage", "Cercle druidique"</t>
  </si>
  <si>
    <t>"Forme sauvage améliorée, Amélioration de caractéristiques"</t>
  </si>
  <si>
    <t>"Capacité de cercle druidique"</t>
  </si>
  <si>
    <t>"Jeunesse éternelle", "Incantation animale"</t>
  </si>
  <si>
    <t>"Archidruide"</t>
  </si>
  <si>
    <t>"Incantations", "Domaine divin"</t>
  </si>
  <si>
    <t>"Destruction des morts-vivants (FP 1/2)"</t>
  </si>
  <si>
    <t>"Canalisation d’énergie divine (2)", "Capacité de domaine divin"</t>
  </si>
  <si>
    <t>"Amélioration de caractéristiques", "Capacité de domaine divin,Destruction des morts-vivants (FP 1)"</t>
  </si>
  <si>
    <t>"Intervention divine"</t>
  </si>
  <si>
    <t>"Destruction des morts-vivants (FP 2)"</t>
  </si>
  <si>
    <t>"Destruction des morts-vivants (FP 3)"</t>
  </si>
  <si>
    <t>"Destruction des morts-vivants (FP 4)", "Capacité de domaine divin"</t>
  </si>
  <si>
    <t>"Canalisation d’énergie divine (3)"</t>
  </si>
  <si>
    <t>"Intervention divine améliorée"</t>
  </si>
  <si>
    <t>"Incantations", "Inspiration bardique (d6)"</t>
  </si>
  <si>
    <t>"Touche-à-tout", "Chant de repos (d6)"</t>
  </si>
  <si>
    <t>"Collège bardique", "Expertise"</t>
  </si>
  <si>
    <t>"Contre charme", "Capacité de collège bardique"</t>
  </si>
  <si>
    <t>"Chant de repos (d10)"</t>
  </si>
  <si>
    <t>"Secrets magiques", "Capacité de collège bardique"</t>
  </si>
  <si>
    <t>"Secrets magiques"</t>
  </si>
  <si>
    <t>"Inspiration supérieure"</t>
  </si>
  <si>
    <t>"Défense patiente", "Déluge de coups", "Déplacement aérien", "Déplacement sans armure"</t>
  </si>
  <si>
    <t>"Intégrité physique"</t>
  </si>
  <si>
    <t>"Tranquillité"</t>
  </si>
  <si>
    <t>"Paume frémissante"</t>
  </si>
  <si>
    <t>"Arts de l'ombre"</t>
  </si>
  <si>
    <t>"Pas de l'ombre"</t>
  </si>
  <si>
    <t>"Linceul d'ombre"</t>
  </si>
  <si>
    <t>"Opportuniste"</t>
  </si>
  <si>
    <t>"Chevauchée du vent", "Flammes du phénix", "Forme brumeuse"</t>
  </si>
  <si>
    <t>"Gong du sommet", "Poigne du vent du nord"</t>
  </si>
  <si>
    <t>"Disciple des éléments", "Crochets du serpent de feu", "Façonnage de la rivière", "Fouet d'eau", "Frappe incandescente écrasante", "Lien élémentaire", "Poing de l'air", "Poing des quatre tonnerres", "Ruée des esprits du vent"</t>
  </si>
  <si>
    <t>"Défense de la montagne éternelle", "Rivière de la flamme affamée", "Souffle de l'hiver", "Vague de terre grondante"</t>
  </si>
  <si>
    <t>"Frénésie"</t>
  </si>
  <si>
    <t>"Rage inébranlable"</t>
  </si>
  <si>
    <t>"Présence intimidante"</t>
  </si>
  <si>
    <t>"Représailles"</t>
  </si>
  <si>
    <t>"Quêteur spirituel", "Esprit totem"</t>
  </si>
  <si>
    <t>"Aspect de la bête"</t>
  </si>
  <si>
    <t>"Marcheur spirituel"</t>
  </si>
  <si>
    <t>"Lien totémique"</t>
  </si>
  <si>
    <t>"Maîtrises supplémentaires", "Mots cinglants"</t>
  </si>
  <si>
    <t>"Secrets magiques supplémentaires"</t>
  </si>
  <si>
    <t>"Compétence hors pair"</t>
  </si>
  <si>
    <t>"Maîtrises supplémentaires", "Inspiration martiale"</t>
  </si>
  <si>
    <t>"Magie de combat"</t>
  </si>
  <si>
    <t>"Bénédiction de l'escroc"</t>
  </si>
  <si>
    <t>"Canalisation d’énergie divine : invocation de duplicata"</t>
  </si>
  <si>
    <t>"Canalisation d’énergie divine : linceul d'ombre"</t>
  </si>
  <si>
    <t>"Frappe divine"</t>
  </si>
  <si>
    <t>"Duplicata amélioré"</t>
  </si>
  <si>
    <t>"Maîtrises supplémentaires", "Prêtre de guerre"</t>
  </si>
  <si>
    <t>"Canalisation d’énergie divine : frappe guidée"</t>
  </si>
  <si>
    <t>"Canalisation d’énergie divine : bénédiction du dieu de la guerre"</t>
  </si>
  <si>
    <t>"Avatar de bataille"</t>
  </si>
  <si>
    <t>"Sort mineur supplémentaire", "Illumination protectrice"</t>
  </si>
  <si>
    <t>"Canalisation d’énergie divine : radiance de l'aube"</t>
  </si>
  <si>
    <t>"Illumination améliorée"</t>
  </si>
  <si>
    <t>"Incantation puissante"</t>
  </si>
  <si>
    <t>"Halo de lumière"</t>
  </si>
  <si>
    <t>"Acolyte de la nature", "Maîtrise supplémentaire"</t>
  </si>
  <si>
    <t>"Canalisation d’énergie divine : charme des animaux et des plantes"</t>
  </si>
  <si>
    <t>"Atténuation des éléments"</t>
  </si>
  <si>
    <t>"Maître de la nature"</t>
  </si>
  <si>
    <t>"Bénédictions du savoir"</t>
  </si>
  <si>
    <t>"Canalisation d’énergie divine : connaissances du passé"</t>
  </si>
  <si>
    <t>"Canalisation d’énergie divine : lecture des pensées"</t>
  </si>
  <si>
    <t>"Visions du passé"</t>
  </si>
  <si>
    <t>"Maîtrises supplémentaires", "Fureur de l'ouragan"</t>
  </si>
  <si>
    <t>"Canalisation d’énergie divine : colère destructrice"</t>
  </si>
  <si>
    <t>"Frappe de l'éclair"</t>
  </si>
  <si>
    <t>"Fils de la tempête"</t>
  </si>
  <si>
    <t>"Maîtrise supplémentaire", "Disciple de la vie"</t>
  </si>
  <si>
    <t>"Canalisation d’énergie divine : préservation de la vie"</t>
  </si>
  <si>
    <t>"Guérisseur béni"</t>
  </si>
  <si>
    <t>"Guérison suprême"</t>
  </si>
  <si>
    <t>"Maîtrise supplémentaire", "Bénédiction de la forge"</t>
  </si>
  <si>
    <t>"Canalisation d'énergie divine : bénédiction de l'artisan"</t>
  </si>
  <si>
    <t>"Âme de la forge"</t>
  </si>
  <si>
    <t>"Saint de la forge et du feu"</t>
  </si>
  <si>
    <t>"Technique de la main ouverte"</t>
  </si>
  <si>
    <t>"Forme sauvage de combat", "Formes du cercle"</t>
  </si>
  <si>
    <t>"Frappe primitive"</t>
  </si>
  <si>
    <t>"Forme sauvage élémentaire"</t>
  </si>
  <si>
    <t>"Mille formes"</t>
  </si>
  <si>
    <t>"Sort mineur supplémentaire", "Récupération naturelle"</t>
  </si>
  <si>
    <t>"Sorts de cercle"</t>
  </si>
  <si>
    <t>"Traversée des terrains"</t>
  </si>
  <si>
    <t>"Protection de la nature"</t>
  </si>
  <si>
    <t>"Sanctuaire de la nature"</t>
  </si>
  <si>
    <t>"Résistance draconique"</t>
  </si>
  <si>
    <t>"Affinité élémentaire"</t>
  </si>
  <si>
    <t>"Ailes de dragon"</t>
  </si>
  <si>
    <t>"Présence draconique"</t>
  </si>
  <si>
    <t>"Sursaut de magie sauvage", "Vague de chaos"</t>
  </si>
  <si>
    <t>"Chance forcée"</t>
  </si>
  <si>
    <t>"Chaos contrôlé"</t>
  </si>
  <si>
    <t>"Bombardement de sort"</t>
  </si>
  <si>
    <t>"Abjurateur érudit", "Protection arcanique"</t>
  </si>
  <si>
    <t>"Transmission de protection"</t>
  </si>
  <si>
    <t>"Abjuration améliorée"</t>
  </si>
  <si>
    <t>"Résistance aux sorts"</t>
  </si>
  <si>
    <t>"Devin érudit", "Présage"</t>
  </si>
  <si>
    <t>"Expert en divination"</t>
  </si>
  <si>
    <t>"Troisième œil"</t>
  </si>
  <si>
    <t>"Présage supérieur"</t>
  </si>
  <si>
    <t>"Enchanteur érudit", "Regard hypnotique"</t>
  </si>
  <si>
    <t>"Charme instinctif"</t>
  </si>
  <si>
    <t>"Partage d'enchantement"</t>
  </si>
  <si>
    <t>"Altération de la mémoire"</t>
  </si>
  <si>
    <t>"Évocateur érudit", "Façonneur de sorts"</t>
  </si>
  <si>
    <t>"Sort mineur puissant"</t>
  </si>
  <si>
    <t>"Évocation améliorée"</t>
  </si>
  <si>
    <t>"Surcharge magique"</t>
  </si>
  <si>
    <t>"Illusionniste érudit", "Illusion mineure améliorée"</t>
  </si>
  <si>
    <t>"Illusions malléables"</t>
  </si>
  <si>
    <t>"Double illusoire"</t>
  </si>
  <si>
    <t>"Réalité illusoire"</t>
  </si>
  <si>
    <t>"Invocateur érudit", "Invocation mineure"</t>
  </si>
  <si>
    <t>"Transposition bénigne"</t>
  </si>
  <si>
    <t>"Invocateur concentré"</t>
  </si>
  <si>
    <t>"Invocations durables"</t>
  </si>
  <si>
    <t>"Nécromancien érudit", "Sinistre moisson"</t>
  </si>
  <si>
    <t>"Serviteurs morts-vivants"</t>
  </si>
  <si>
    <t>"Résistance à la non-vie"</t>
  </si>
  <si>
    <t>"Contrôle des morts-vivants"</t>
  </si>
  <si>
    <t>"Transmutateur érudit", "Alchimie mineure"</t>
  </si>
  <si>
    <t>"Pierre du transmutateur"</t>
  </si>
  <si>
    <t>"Métamorphe"</t>
  </si>
  <si>
    <t>"Maître transmutateur"</t>
  </si>
  <si>
    <t>"Maîtrises supplémentaires", "Assassinat"</t>
  </si>
  <si>
    <t>"Expert en infiltration"</t>
  </si>
  <si>
    <t>"Imposteur"</t>
  </si>
  <si>
    <t>"Frappe mortelle"</t>
  </si>
  <si>
    <t>"Mains lestes", "Monte-en-l'air"</t>
  </si>
  <si>
    <t>"Discrétion suprême"</t>
  </si>
  <si>
    <t>"Utilisation des objets magiques"</t>
  </si>
  <si>
    <t>"Réflexes de voleur"</t>
  </si>
  <si>
    <t>"Incantations", "Escamotage et main de mage"</t>
  </si>
  <si>
    <t>"Embuscade magique"</t>
  </si>
  <si>
    <t>"Escroc polyvalent"</t>
  </si>
  <si>
    <t>"Voleur de sorts"</t>
  </si>
  <si>
    <t>"Maître des intrigues", "Maître des tactiques"</t>
  </si>
  <si>
    <t>"Manipulateur perspicace"</t>
  </si>
  <si>
    <t>"Redirection"</t>
  </si>
  <si>
    <t>"Âme de trompeur"</t>
  </si>
  <si>
    <t>"Présence féerique"</t>
  </si>
  <si>
    <t>"Échappatoire brumeuse"</t>
  </si>
  <si>
    <t>"Défenses séduisantes"</t>
  </si>
  <si>
    <t>"Sombre délire"</t>
  </si>
  <si>
    <t>"Bénédiction du ténébreux"</t>
  </si>
  <si>
    <t>"Chance du ténébreux"</t>
  </si>
  <si>
    <t>"Résistance fiélonne"</t>
  </si>
  <si>
    <t>"Traversée des enfers"</t>
  </si>
  <si>
    <t>"Esprit éveillé"</t>
  </si>
  <si>
    <t>"Protection entropique"</t>
  </si>
  <si>
    <t>"Bouclier mental"</t>
  </si>
  <si>
    <t>"Asservissement"</t>
  </si>
  <si>
    <t>HUNTER</t>
  </si>
  <si>
    <t>Chasseur</t>
  </si>
  <si>
    <t>"Proie du chasseur"</t>
  </si>
  <si>
    <t>"Tactiques défensives"</t>
  </si>
  <si>
    <t>"Attaques multiples"</t>
  </si>
  <si>
    <t>"Défense du chasseur supérieure"</t>
  </si>
  <si>
    <t>BEAST_MASTER</t>
  </si>
  <si>
    <t>Maître des bêtes</t>
  </si>
  <si>
    <t>"Compagnon du rôdeur"</t>
  </si>
  <si>
    <t>"Entraînement exceptionnel"</t>
  </si>
  <si>
    <t>"Fureur bestiale"</t>
  </si>
  <si>
    <t>"Partage des sorts"</t>
  </si>
  <si>
    <t>Serment sacré</t>
  </si>
  <si>
    <t>Archétype de rôdeur</t>
  </si>
  <si>
    <t>Archétypes martiaux</t>
  </si>
  <si>
    <t>Serment de dévotion</t>
  </si>
  <si>
    <t>DEVOTION</t>
  </si>
  <si>
    <t>"Principes de Dévotion"</t>
  </si>
  <si>
    <t>"Canalisation d'énergie divine"</t>
  </si>
  <si>
    <t>"Aura de dévotion"</t>
  </si>
  <si>
    <t>"Pureté de l'esprit"</t>
  </si>
  <si>
    <t>"Halo sacré"</t>
  </si>
  <si>
    <t>OLD</t>
  </si>
  <si>
    <t>Serment des anciens</t>
  </si>
  <si>
    <t>"Principes des Anciens"</t>
  </si>
  <si>
    <t>"Sentinelle immortelle"</t>
  </si>
  <si>
    <t>"Champion des Anciens"</t>
  </si>
  <si>
    <t>REVENGE</t>
  </si>
  <si>
    <t>Serment de vengeance</t>
  </si>
  <si>
    <t>"Principes de Vengeance"</t>
  </si>
  <si>
    <t>"Vengeur implacable"</t>
  </si>
  <si>
    <t>"Âme vengeresse"</t>
  </si>
  <si>
    <t>"Ange de la vengeance"</t>
  </si>
  <si>
    <t>CHAMPION</t>
  </si>
  <si>
    <t>Champion</t>
  </si>
  <si>
    <t>WAR_MASTER</t>
  </si>
  <si>
    <t>OCCULT_KNIGHT</t>
  </si>
  <si>
    <t>Maître de guerre</t>
  </si>
  <si>
    <t>Chevalier occulte</t>
  </si>
  <si>
    <t>"Critique amélioré"</t>
  </si>
  <si>
    <t>"Athlète remarquable"</t>
  </si>
  <si>
    <t>"Style de combat supplémentaire"</t>
  </si>
  <si>
    <t>"Critique supérieur"</t>
  </si>
  <si>
    <t>"Survivant"</t>
  </si>
  <si>
    <t>"Supériorité au combat", "Étudiant de guerre"</t>
  </si>
  <si>
    <t>"Connaître son ennemi"</t>
  </si>
  <si>
    <t>"Supériorité au combat améliorée"</t>
  </si>
  <si>
    <t>"Implacable"</t>
  </si>
  <si>
    <t>"Manœuvres"</t>
  </si>
  <si>
    <t>"Incantations", "Lien avec une arme"</t>
  </si>
  <si>
    <t>"Magie de guerre"</t>
  </si>
  <si>
    <t>"Frappe occulte"</t>
  </si>
  <si>
    <t>"Charge arcanique"</t>
  </si>
  <si>
    <t>"Magie de guerre améliorée"</t>
  </si>
  <si>
    <t>SpecialisationCapacities</t>
  </si>
  <si>
    <t>FightStyles</t>
  </si>
  <si>
    <t>"Aura de résistance"</t>
  </si>
  <si>
    <t>Niveau de style de combat</t>
  </si>
  <si>
    <t>Bonus de sort</t>
  </si>
  <si>
    <t>CHA</t>
  </si>
  <si>
    <t>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t>
  </si>
  <si>
    <t>Si vous portez une armure, vous obtenez un bonus de +1 à la CA.</t>
  </si>
  <si>
    <t>Lorsque vous attaquez avec une arme de corps à corps dans une main et aucune autre arme, vous obtenez un bonus de +2 aux dégâts avec cette arme.</t>
  </si>
  <si>
    <t>Quand une créature que vous pouvez voir attaque une cible autre que vous-même et qui se trouve à 1,50 mètre ou moins de vous, vous pouvez utiliser votre réaction pour imposer un désavantage à son jet d'attaque. Vous devez pour cela porter un bouclier.</t>
  </si>
  <si>
    <t>Vous obtenez un bonus de +2 aux jets d'attaque avec une arme à distance.</t>
  </si>
  <si>
    <t>Lorsque vous vous engagez dans un combat avec deux armes en mains, vous pouvez ajouter votre modificateur de caractéristique aux dégâts de la seconde attaque.</t>
  </si>
  <si>
    <t>Bonus distance</t>
  </si>
  <si>
    <t>Bonus 1main</t>
  </si>
  <si>
    <t>En combat, vous vous battez avec une férocité bestiale. Durant votre tour, vous pouvez entrer en rage en utilisant une action bonus. En rage, vous gagnez les bénéfices suivants si vous ne portez pas d'armure lourde :
Vous avez un avantage aux jets de Force et aux jets de sauvegarde de Force.
Quand vous effectuez une attaque au corps à corps avec une arme utilisant la Force, vous gagnez un bonus aux jets de dégâts qui dépend de votre niveau de barbare, comme indiqué dans la colonne Dégâts de la table ci-dessus.
Vous avez la résistance aux dégâts contondants, perforants et tranchants.
Si vous êtes capable de lancer des sorts, vous ne pouvez les lancer ou vous concentrer sur eux pour toute la durée de la rage.
Votre rage dure 1 minute. Elle finit prématurément si vous devenez inconscient, ou si votre tour se termine et que vous n'avez ni attaqué une créature hostile, ni subi des dégâts, depuis votre précédent tour. Vous pouvez également mettre fin à votre rage durant votre tour par une action bonus. Vous récupérez les utilisations de rage dépensées après avoir terminé un repos long.</t>
  </si>
  <si>
    <t>Tant que vous ne portez pas d'armure, votre classe d'armure est égale à 10 + votre modificateur de Dextérité + votre modificateur de Constitution. Vous pouvez utiliser un bouclier et continuer de profiter de cette capacité.</t>
  </si>
  <si>
    <t>Attaque téméraire</t>
  </si>
  <si>
    <t>À partir du niveau 2, vous pouvez mettre de côté votre défense pour attaquer avec toute la violence du désespoir. Lorsque vous effectuez la première attaque de votre tour, vous pouvez décider d'effectuer une Attaque téméraire. Vous obtenez ainsi un avantage aux jets d'attaque au corps à corps avec une arme utilisant la Force durant ce tour, mais les attaques effectuées contre vous ont également un avantage jusqu'à votre prochain tour.</t>
  </si>
  <si>
    <t>Sens du danger</t>
  </si>
  <si>
    <t>Au niveau 2, vous ressentez une sensation étrange lorsque les choses qui vous entourent ne sont pas comme elles devraient être, vous donnant un avantage lorsque vous tentez de vous extirper du danger. Vous avez un avantage aux jets de sauvegarde de Dextérité contre les effets que vous pouvez voir, comme les pièges ou les sorts. Pour bénéficier de cet effet vous ne devez pas être aveuglé, assourdi ou incapable d'agir.</t>
  </si>
  <si>
    <t>À partir du niveau 5, vous pouvez attaquer deux fois, au lieu d'une seule, chaque fois que vous réalisez l'action Attaquer durant votre tour.</t>
  </si>
  <si>
    <t>Déplacement rapide</t>
  </si>
  <si>
    <t>Au niveau 5, votre vitesse augmente de 3 mètres tant que vous ne portez pas d'armure lourde.</t>
  </si>
  <si>
    <t>Instinct sauvage</t>
  </si>
  <si>
    <t>Au niveau 7, vos instincts sont si aiguisés que vous obtenez un avantage aux jets d'initiative. De plus, si vous êtes surpris au début du combat et que vous n'êtes pas incapable d'agir, vous pouvez jouer normalement durant votre premier tour, mais seulement si vous entrez en rage avant de faire quoique ce soit d'autre à ce tour.</t>
  </si>
  <si>
    <t>Critique brutal</t>
  </si>
  <si>
    <t>À partir du niveau 9, vous pouvez lancer un dé de dégâts de votre arme en plus lorsque vous déterminez les dégâts supplémentaires que vous infligez sur un coup critique réussi avec une attaque au corps à corps. Ce bonus aux dégâts passe à deux dés au niveau 13 et à trois dés au niveau 17.</t>
  </si>
  <si>
    <t>Rage implacable</t>
  </si>
  <si>
    <t>À partir du niveau 11, votre rage vous permet de continuer à combattre en dépit des graves blessures qui vous affectent. Si vous tombez à 0 point de vie pendant votre rage et que vous ne mourrez pas sur le coup, vous pouvez faire un jet de sauvegarde de Constitution DD 10. Si vous le réussissez, vous retournez immédiatement à 1 point de vie. Chaque fois que vous utilisez cette capacité après la première, le DD augmente de 5. Quand vous terminez un repos court ou long le DD retombe à 10.</t>
  </si>
  <si>
    <t>Rage ininterrompue</t>
  </si>
  <si>
    <t>En atteignant le niveau 15, votre rage est si intense qu'elle ne s'arrête prématurément qu'à la condition que vous tombiez inconscient ou que vous choisissiez de l'arrêter.</t>
  </si>
  <si>
    <t>Puissance indomptable</t>
  </si>
  <si>
    <t>Au niveau 18, si le résultat d'un de vos jets de Force est inférieur à votre valeur de Force, vous pouvez utiliser votre valeur de Force à la place de votre résultat.</t>
  </si>
  <si>
    <t>Champion primitif</t>
  </si>
  <si>
    <t>Au niveau 20, vous êtes l'incarnation de la puissance du monde sauvage. Vos valeurs de Force et de Constitution augmentent de 4. Votre maximum dans ces valeurs de caractéristique est maintenant de 24.</t>
  </si>
  <si>
    <t>Frénésie</t>
  </si>
  <si>
    <t>Dès que vous choisissez cette voie au niveau 3, vous pouvez choisir de sombrer dans un état de frénésie au cours de votre rage. Si vous le faites, pour la durée de votre rage, vous pouvez effectuer une unique attaque au corps à corps avec une arme en utilisant une action bonus à chacun de vos tours après celui-ci. Lorsque votre rage se termine, vous subissez un niveau d'épuisement.</t>
  </si>
  <si>
    <t>Rage inébranlable</t>
  </si>
  <si>
    <t>À partir du niveau 6, vous ne pouvez pas être charmé ou effrayé tant que vous êtes en rage. Si vous êtes déjà charmé ou effrayé lorsque vous entrez en rage, l'effet est suspendu le temps de votre rage.</t>
  </si>
  <si>
    <t>Présence intimidante</t>
  </si>
  <si>
    <t>À partir du niveau 10, vous pouvez utiliser votre action pour effrayer quelqu'un avec votre présence effrayante. Pour ce faire, choisissez une créature que vous pouvez voir à 9 mètres maximum de vous. Si la créature peut vous voir ou vous entendre, elle doit réussir un jet de sauvegarde de Sagesse (DD égal à 8 + votre bonus de maîtrise + votre modificateur de Charisme) ou vous la effrayez jusqu'à la fin de votre prochain tour. Aux tours suivants, vous pouvez utiliser votre action pour augmenter d'un tour supplémentaire la durée de cet effet sur la créature effrayée. Cet effet se termine si la créature finit son tour hors de votre ligne de vue ou qu'elle se trouve à plus de 18 mètres de vous. Si la créature réussit son jet de sauvegarde, vous ne pouvez plus utiliser cette capacité contre elle durant 24 heures.</t>
  </si>
  <si>
    <t>Représailles</t>
  </si>
  <si>
    <t>À partir du niveau 14, lorsque vous subissez des dégâts d'une créature située à 1,50 mètre de vous, vous pouvez utiliser votre réaction pour effectuer une attaque au corps à corps avec une arme contre cette créature.</t>
  </si>
  <si>
    <t>Quêteur spirituel</t>
  </si>
  <si>
    <t>Une voie qui cherche à vous initier au monde naturel, vous affiliant aux bêtes, est faite pour vous. Au niveau 3, lorsque vous adoptez cette voie, vous obtenez la capacité de lancer les sorts communication avec les animaux et sens animal, mais seulement en tant que rituels.</t>
  </si>
  <si>
    <t>Esprit totem</t>
  </si>
  <si>
    <t>Au niveau 3, lorsque vous adoptez cette voie, vous choisissez un esprit totem et obtenez les avantages associés. Vous devez fabriquer ou obtenir un objet totem - une amulette ou un ornement similaire - constitué d'os, de poils, de griffes, de plumes ou de dents de votre animal totem. Si vous le souhaitez, vous pouvez également obtenir un attribut physique mineur qui rappelle votre esprit totem. Par exemple, si vous avez choisi l'ours comme esprit totem, vous pourriez être incroyablement poilu et avoir la peau épaisse, ou si votre totem est l'aigle, vos yeux pourraient virer au jaune. Votre animal totem devrait être un animal correspondant à l'un de ceux listés ci-dessous ou s'en approchant mais dont l'espèce est plus appropriée à votre pays d'origine (un vautour ou un faucon à la place d'un aigle par exemple).
Aigle. Lorsque vous êtes en rage et ne portez pas d'armure lourde, les autres créatures ont un désavantage lors des attaques d'opportunité qu'elles effectuent contre vous, et vous pouvez utiliser l'action Foncer en tant qu'action bonus lors de votre tour. L'esprit de l'aigle fait de vous un prédateur capable de circuler dans la mêlée avec aisance.
Loup. Lorsque vous êtes en rage, vos alliés ont un avantage aux jets d'attaque au corps à corps effectués contre toute créature située à 1,50 mètre de vous et qui vous sont hostiles. L'esprit du loup fait de vous le chef des chasseurs.
Ours. Lorsque vous êtes en rage, vous avez la résistance à tous les types de dégâts sauf aux dégâts psychiques. L'esprit de l'ours vous rend suffisamment coriace pour résister à n'importe quel châtiment.</t>
  </si>
  <si>
    <t>Aspect de la bête</t>
  </si>
  <si>
    <t>Au niveau 6, vous obtenez un bénéfice magique dépendant de l'animal totem de votre choix. Vous pouvez choisir le même animal que celui sélectionné au niveau 3 ou en prendre un différent.
Aigle. Vous gagnez la vision de l'aigle. Vous pouvez voir jusqu'à 1,5 km sans difficulté, capable de discerner même les plus fins détails comme si vous regardiez quelque chose à 30 m de vous. De plus, une faible luminosité n'impose pas un désavantage à vos jets de Sagesse (Perception).
Loup. Vous gagnez les sens de chasseur d'un loup. Vous pouvez pister les autres créatures lorsque vous voyagez à un rythme rapide et vous pouvez vous déplacer discrètement lorsque vous voyagez à un rythme normal (voir Partir à l'aventure).
Ours. Vous gagnez la puissance de l'ours. Votre capacité de charge (dont votre chargement maximal et votre capacité à soulever des objets) est doublée et vous obtenez un avantage aux jets de Force effectués pour pousser, soulever, tirer ou briser des objets.</t>
  </si>
  <si>
    <t>Marcheur spirituel</t>
  </si>
  <si>
    <t>Au niveau 10, vous pouvez lancer le sort communion avec la nature, mais seulement en tant que rituel. Lorsque vous le lancez, une version spirituelle de l'un des animaux que vous avez choisis avec Esprit totem ou Aspect de la bête apparaît et vous donne l'information que vous recherchez.</t>
  </si>
  <si>
    <t>Lien totémique</t>
  </si>
  <si>
    <t>Au niveau 14, vous obtenez un bénéfice magique correspondant à l'animal totem de votre choix. Vous pouvez choisir un animal que vous avez précédemment sélectionné ou en prendre un nouveau.
Aigle. Lorsque vous êtes en rage, vous obtenez une vitesse de vol égale à votre vitesse actuelle de déplacement à pied. Cette capacité fonctionne uniquement sur de cours déplacements ; vous tombez si vous terminez votre tour dans les airs et que rien d'autre ne vous maintient en hauteur.
Loup. Lorsque vous êtes en rage vous pouvez utiliser une action bonus lors de votre tour pour mettre à terre une créature de taille G ou inférieure que vous avez touchée lors d'une attaque au corps à corps avec une arme.
Ours. Lorsque vous êtes en rage, toute créature située à 1,50 mètre de vous, et qui vous est hostile, a un désavantage aux jets d'attaque effectué contre une cible autre que vous, ou tout personnage avec cette capacité. Un ennemi est immunisé à cet effet s'il ne peut pas vous voir ou vous entendre ou qu'il ne peut pas être effrayé.</t>
  </si>
  <si>
    <t>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t>
  </si>
  <si>
    <t>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t>
  </si>
  <si>
    <t>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t>
  </si>
  <si>
    <t>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t>
  </si>
  <si>
    <t>Inspiration bardique</t>
  </si>
  <si>
    <t>Vous pouvez inspirer les autres en maniant les mots ou la musique. Pour ce faire, utilisez une action bonus à votre tour pour choisir une créature autre que vous-même dans un rayon de 18 mètres autour de vous et qui peut vous entendre. Cette créature gagne un dé d'Inspiration bardique (d6). Une fois dans les 10 minutes suivantes, la créature peut lancer le dé et ajouter le nombre obtenu à un jet de caractéristique, d'attaque ou de sauvegarde qu'elle vient de faire. La créature peut attendre de voir le résultat de jet de caractéristique, d'attaque ou de sauvegarde avant de décider d'appliquer le dé d'Inspiration bardique, mais elle doit se décider avant que le MD ne dise si le jet est un succès ou un échec. Une fois le dé d'Inspiration bardique lancé, il est consommé. Une créature ne peut avoir qu'un seul dé d'Inspiration bardique à la fois.
Vous pouvez utiliser cette capacité un nombre de fois égal à votre modificateur de Charisme (minimum 1). Vous regagnez vos dés d'Inspiration bardique après avoir terminé un repos long. Votre dé d'Inspiration bardique change lorsque vous atteignez certains niveaux dans cette classe. Le dé passe à un d8 au niveau 5, un d10 au niveau 10, et un d12 au niveau 15.</t>
  </si>
  <si>
    <t>Touche-à-tout</t>
  </si>
  <si>
    <t>À partir du niveau 2, vous pouvez ajouter la moitié de votre bonus de maîtrise (arrondi au chiffre inférieur) à tout jet de caractéristique qui n'applique pas déjà votre bonus de maîtrise.</t>
  </si>
  <si>
    <t>Chant de repos</t>
  </si>
  <si>
    <t>À partir du niveau 2, vous pouvez utiliser de la musique ou une oraison apaisante lors d'un repos court pour aider à revitaliser vos alliés blessés. Si vous ou toutes créatures amies qui peuvent entendre votre représentation récupérez des points de vie à la fin du repos court en dépensant un ou plusieurs dés de vie, chacune de ces créatures récupère 1d6 points de vie supplémentaires.
Les points de vie supplémentaires augmentent lorsque vous atteignez certains niveaux dans cette classe : 1d8 au niveau 9, 1d10 au niveau 13 et 1d12 au niveau 17.</t>
  </si>
  <si>
    <t>Collège bardique</t>
  </si>
  <si>
    <t>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t>
  </si>
  <si>
    <t>Source d'inspiration</t>
  </si>
  <si>
    <t>À partir du niveau 5, vous regagnez vos Inspirations bardiques utilisées lorsque vous terminez un repos court ou long.</t>
  </si>
  <si>
    <t>Contre charme</t>
  </si>
  <si>
    <t>Au niveau 6, vous gagnez la possibilité d'utiliser des notes de musique ou des mots de pouvoir pour perturber les effets qui affectent la pensée. Par une action, vous pouvez commencer une représentation qui durera jusqu'à la fin de votre prochain tour. Pendant ce temps, vous et toute créature amie dans un rayon de 9 mètres autour de vous avez l'avantage aux jets de sauvegarde pour ne pas être effrayé ou charmé. Une créature doit être en mesure de vous entendre pour obtenir cet avantage. La représentation se termine plus tôt si vous êtes incapable d'agir ou réduit au silence, ou si vous y mettez volontairement un terme (aucune action n'est requise pour cela).</t>
  </si>
  <si>
    <t>Secrets magiques</t>
  </si>
  <si>
    <t>Au niveau 10, vous avez récupéré des connaissances magiques à partir d'un large éventail de disciplines. Choisissez deux sorts de n'importe quelles classes, y compris de barde. Les sorts choisis doivent être d'un niveau que vous pouvez lancer, comme le montre la table du barde, ou être des sorts mineurs. Les sorts choisis comptent comme des sorts de barde pour vous, et comptent dans la colonne des Sorts connus de la table du barde.
Vous apprenez deux sorts supplémentaires de n'importe quelles classes au niveau 14 puis à nouveau au niveau 18.</t>
  </si>
  <si>
    <t>Inspiration supérieure</t>
  </si>
  <si>
    <t>Au niveau 20, quand vous jetez l'initiative et n'avez plus d'Inspiration bardique, vous regagnez une utilisation.</t>
  </si>
  <si>
    <t>Maîtrises supplémentaires</t>
  </si>
  <si>
    <t>Lorsque vous rejoignez le collège du savoir au niveau 3, vous gagnez la maîtrise des trois compétences de votre choix.</t>
  </si>
  <si>
    <t>Mots cinglants</t>
  </si>
  <si>
    <t>Également au niveau 3, vous apprenez à utiliser votre esprit pour détourner l'attention ou semer la confusion, ainsi qu'à saper la confiance et la compétence des autres. Quand une créature que vous pouvez voir dans un rayon de 18 mètres autour de vous fait un jet d'attaque, de caractéristique ou de dégâts, vous pouvez utiliser votre réaction pour dépenser une utilisation d'Inspiration bardique et soustraire votre jet du résultat de la cible. Vous pouvez choisir d'utiliser cette capacité après que la créature ait fait son jet, mais vous devez le faire avant que le MD ne dise si son jet est un succès ou un échec, ou avant que la créature inflige ses dégâts. La créature est immunisée si elle ne peut pas vous entendre ou si les charmes ne l'affectent pas.</t>
  </si>
  <si>
    <t>Secrets magiques supplémentaires</t>
  </si>
  <si>
    <t>Au niveau 6, vous apprenez deux sorts de votre choix de n'importe quelle classe. Les sorts choisis doivent être d'un niveau que vous pouvez lancer, comme le montre la table du barde, ou être des sorts mineurs. Les sorts choisis comptent comme des sorts de barde pour vous, mais ne comptent pas pour le nombre de sorts de barde connus.</t>
  </si>
  <si>
    <t>Compétence hors pair</t>
  </si>
  <si>
    <t>À partir du niveau 14, quand vous faites un jet de caractéristique, vous pouvez utiliser une Inspiration bardique. Lancez le dé d'Inspiration bardique et ajoutez le résultat à votre jet de caractéristique. Vous pouvez choisir de le faire après avoir fait votre jet de votre caractéristique, mais vous devez le faire avant que le MD ne vous indique si vous réussissez ou échouez.</t>
  </si>
  <si>
    <t>Lorsque vous rejoignez le collège de la vaillance au niveau 3, vous gagnez la maîtrise des armures intermédiaires, des boucliers et des armes de guerre.</t>
  </si>
  <si>
    <t>Inspiration martiale</t>
  </si>
  <si>
    <t>Également au niveau 3, vous apprenez à inspirer les autres dans la bataille. Une créature qui a un dé d'Inspiration bardique de votre part peut jeter ce dé et ajouter le résultat au jet de dégâts d'une arme qu'elle vient de faire. Ou bien, quand un jet d'attaque est fait contre cette créature, elle peut utiliser sa réaction pour jeter le dé d'Inspiration bardique et ajouter le résultat à sa CA contre cette attaque, après avoir vu le jet mais avant de savoir si elle touche ou non.</t>
  </si>
  <si>
    <t>À partir de niveau 6, vous pouvez attaquer deux fois, au lieu d'une seule, chaque fois que vous réalisez l’action Attaquer durant votre tour.</t>
  </si>
  <si>
    <t>Magie de combat</t>
  </si>
  <si>
    <t>Au niveau 14, vous maîtrisez l'art de tisser les sorts et d'utiliser une arme en un seul acte harmonieux. Lorsque vous utilisez votre action pour lancer un sort de barde, vous pouvez faire une attaque avec une arme en tant qu'action bonus.</t>
  </si>
  <si>
    <t>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t>
  </si>
  <si>
    <t>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t>
  </si>
  <si>
    <t>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t>
  </si>
  <si>
    <t>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t>
  </si>
  <si>
    <t>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t>
  </si>
  <si>
    <t>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t>
  </si>
  <si>
    <t>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t>
  </si>
  <si>
    <t>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t>
  </si>
  <si>
    <t>Canalisation d’énergie divine : renvoi des morts-vivants</t>
  </si>
  <si>
    <t>Au prix d'une action, vous présentez votre symbole sacré en psalmodiant une prière contre les morts-vivants. Chaque mort-vivant qui peut vous voir ou vous entendre et qui se trouve à 9 mètres ou moins de vous doit effectuer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utiliser de réactions et peut utiliser ses actions seulement pour Foncer ou essayer de s'échapper d'un effet immobilisant. S'il n'y a nulle part où aller, la créature peut utiliser l'action Esquiver.</t>
  </si>
  <si>
    <t>Destruction des morts-vivants</t>
  </si>
  <si>
    <t>À partir du niveau 5, quand un mort-vivant rate son jet de sauvegarde contre votre capacité de Renvoi des morts-vivants, la créature est immédiatement détruite si son FP est égal ou inférieur à un certain seuil, comme indiqué dans le tableau ci-dessous.
Niveau de clerc 5 : FP des morts-vivants détruits 1/2 ou moins
Niveau de clerc 8 : FP des morts-vivants détruits 1 ou moins
Niveau de clerc 11 : FP des morts-vivants détruits 2 ou moins
Niveau de clerc 14 : FP des morts-vivants détruits 3 ou moins
Niveau de clerc 17 : FP des morts-vivants détruits 4 ou moins</t>
  </si>
  <si>
    <t>Intervention divine</t>
  </si>
  <si>
    <t>À partir du niveau 10, vous pouvez faire appel à votre divinité pour qu'elle intervienne en cas de besoin réel. Implorer l'aide de votre divinité vous oblige à utiliser votre action. Décrivez l'aide que vous recherchez, et lancez 1d100. Si vous obtenez un nombre égal ou inférieur à votre niveau de clerc, votre divinité intervient. Le MD choisit la nature de l'intervention ; l'effet d'un sort de clerc ou d'un sort de domaine est approprié. Si votre divinité intervient, vous ne pouvez plus utiliser cette capacité durant les 7 prochains jours. Dans le cas contraire, vous pouvez l'utiliser à nouveau après avoir terminé un repos long.
Au niveau 20, l'appel à votre divinité réussit automatiquement ; aucun jet n'est nécessaire.</t>
  </si>
  <si>
    <t>Bénédiction de l'escroc</t>
  </si>
  <si>
    <t>À partir du niveau 1, vous pouvez utiliser votre action pour toucher une créature consentante (autre que vous-même) et lui donner un avantage aux jets de Dextérité (Discrétion). Cette bénédiction dure pendant 1 heure, ou jusqu'à ce que vous utilisiez cette capacité à nouveau.</t>
  </si>
  <si>
    <t>Canalisation d’énergie divine : invocation de duplicata</t>
  </si>
  <si>
    <t>À partir du niveau 2, vous pouvez utiliser votre Canalisation d'énergie divine pour créer une copie illusoire de vous-même. Par une action, vous créez une illusion parfaite de vous-même qui dure pendant 1 minute, ou jusqu'à ce que vous perdiez votre concentration (comme si vous étiez concentré sur un sort). L'illusion apparaît dans un espace inoccupé que vous pouvez voir dans un rayon de 9 mètres autour de vous. Par une action bonus à votre tour, vous pouvez déplacer l'illusion jusqu'à 9 mètres, dans un espace que vous pouvez, et sans l'éloigner de plus de 36 mètres de vous. Durant ce temps, vous pouvez lancer des sorts comme si vous étiez dans l'espace de l'illusion, mais vous devez utiliser vos propres sens. En outre, lorsque vous et votre illusion êtes à 1,50 mètre ou moins d'une créature qui peut voir l'illusion, vous avez l'avantage aux jets d'attaque contre cette créature, l'illusion distrayant la cible.</t>
  </si>
  <si>
    <t>Canalisation d’énergie divine : linceul d'ombre</t>
  </si>
  <si>
    <t>À partir du niveau 6, vous pouvez utiliser votre Canalisation d'énergie divine pour disparaître. Par une action, vous devenez invisible jusqu'à la fin de votre prochain tour. Vous redevenez visible si vous attaquez ou lancez un sort.</t>
  </si>
  <si>
    <t>Frappe divine</t>
  </si>
  <si>
    <t>Au niveau 8, vous gagnez la possibilité d’imprégner votre arme de poison, un cadeau de votre divinité. Une fois à chacun de vos tours, lorsque vous touchez une créature avec une attaque d'arme, vous pouvez infliger 1d8 dégâts de poison supplémentaires. Lorsque vous atteignez le niveau 14, les dégâts supplémentaires passent à 2d8.</t>
  </si>
  <si>
    <t>Duplicata amélioré</t>
  </si>
  <si>
    <t>Au niveau 17, vous pouvez créer jusqu'à quatre doublons de vous-même, au lieu d'un, lorsque vous utilisez Invocation de duplicata. Par une action bonus à votre tour, vous pouvez déplacer un certain nombre d'entre eux jusqu'à 9 mètres, et sans les éloigner de plus de 36 mètres de vous.</t>
  </si>
  <si>
    <t>Au niveau 1, vous gagnez la maîtrise des armes de guerres et des armures lourdes.</t>
  </si>
  <si>
    <t>Prêtre de guerre</t>
  </si>
  <si>
    <t>À partir du niveau 1, votre dieu vous inspire lors des combats. Lorsque vous utilisez l’action Attaquer, vous pouvez faire une attaque avec une arme en tant qu’action bonus. Vous pouvez utiliser cette capacité un nombre de fois égal à votre modificateur de Sagesse (minimum 1). Vous regagnez les attaques utilisées à la fin d’un repos long.</t>
  </si>
  <si>
    <t>Canalisation d’énergie divine : frappe guidée</t>
  </si>
  <si>
    <t>À partir du niveau 2, vous pouvez utiliser votre Canalisation d'énergie divine pour frapper avec une grande précision. Lorsque vous faites un jet d’attaque, vous pouvez utilisez votre Canalisation d'énergie divine pour gagner un bonus de +10 au jet. Vous pouvez décider d’utiliser cette capacité après avoir vu le résultat du jet, mais avant que le MD ne vous en donne le résultat.</t>
  </si>
  <si>
    <t>Canalisation d’énergie divine : bénédiction du dieu de la guerre</t>
  </si>
  <si>
    <t>Au niveau 6, lorsqu'une créature dans un rayon de 9 mètres autour de vous fait un jet d’attaque, vous pouvez utiliser votre réaction pour faire bénéficier cette créature d’un bonus de +10 à son jet, en utilisant votre Canalisation d'énergie divine. Vous pouvez choisir d’utiliser cette compétence après avoir vu le résultat du jet, mais vous devez le faire avant que le MD ne dise si l’attaque a réussi ou échoué.</t>
  </si>
  <si>
    <t>Au niveau 8, vous gagnez la possibilité d’imprégner votre arme d’énergie divine. Une fois à chacun de vos tours, lorsque vous touchez une créature avec une attaque d'arme, vous pouvez infliger 1d8 dégâts supplémentaires du même type que celui de votre arme. Lorsque vous atteignez le niveau 14, les dégâts supplémentaires passent à 2d8.</t>
  </si>
  <si>
    <t>Avatar de bataille</t>
  </si>
  <si>
    <t>Au niveau 17, vous obtenez la résistance aux dégâts contondants, perforants et tranchants de toute arme non magique.</t>
  </si>
  <si>
    <t>Sort mineur supplémentaire</t>
  </si>
  <si>
    <t>Lorsque vous choisissez ce domaine au niveau 1, vous gagnez le sort mineur lumière si vous ne le connaissez pas déjà.</t>
  </si>
  <si>
    <t>Illumination protectrice</t>
  </si>
  <si>
    <t>Au niveau 1, vous pouvez interposer une lumière divine entre vous et un ennemi qui attaque. Lorsque vous êtes attaqué par une créature située à 9 mètres ou moins de vous et que vous pouvez voir, vous pouvez utiliser votre réaction pour imposer un désavantage à son jet d'attaque, en faisant éclater une lumière avant qu'il touche ou rate. Un attaquant qui ne peut pas être aveuglé est immunisé face à cette capacité. Vous pouvez utiliser cette capacité un nombre de fois égal à votre modificateur de Sagesse (minimum une fois). Vous en retrouver toutes les utilisations dépensées lorsque vous terminez un repos long.</t>
  </si>
  <si>
    <t>Canalisation d’énergie divine : radiance de l'aube</t>
  </si>
  <si>
    <t>À partir du niveau 2, vous pouvez utiliser votre Canalisation d'énergie divine pour exploiter la lumière du soleil, bannissant les ténèbres et infligeant des dégâts radiants à vos ennemis. Par une action, vous présentez votre symbole sacré et toutes les ténèbres magiques dans un rayon de 9 mètres autour de vous sont dissipées. En outre, chaque créature hostile dans un rayon de 9 mètres autour de vous doit réaliser un jet de sauvegarde de Constitution. Une créature prend 2d10 + votre niveau de clerc dégâts radiants en cas d'échec, ou la moitié de ces dégâts en cas de réussite. Une créature qui dispose d'une couverture totale vis à vis de vous n'est pas affectée.</t>
  </si>
  <si>
    <t>Illumination améliorée</t>
  </si>
  <si>
    <t>À partir du niveau 6, vous pouvez également utiliser votre capacité de Illumination protectrice quand une créature que vous pouvez voir et située à 9 mètres ou moins de vous attaque une créature autre que vous-même.</t>
  </si>
  <si>
    <t>Incantation puissante</t>
  </si>
  <si>
    <t>À partir du niveau 8, vous ajoutez votre modificateur de Sagesse aux dégâts que vous infligez avec n'importe quel sort mineur de clerc.</t>
  </si>
  <si>
    <t>Halo de lumière</t>
  </si>
  <si>
    <t>À partir du niveau 17, vous pouvez utiliser votre action pour activer une aura de lumière du soleil qui dure pendant 1 minute, ou jusqu'à ce que vous la rejetiez à l'aide d'une autre action. Vous émettez une lumière vive dans un rayon de 18 mètres, et une lumière faible sur 9 mètres supplémentaires. Vos ennemis dans la zone de lumière vive ont un désavantage aux jets de sauvegarde contre tout sort qui inflige des dégâts de feu ou des dégâts radiants.</t>
  </si>
  <si>
    <t>Acolyte de la nature</t>
  </si>
  <si>
    <t>Au niveau 1, vous apprenez un sort mineur de druide de votre choix. Vous gagnez également la maîtrise d'une des compétences suivantes de votre choix : Dressage, Nature ou Survie.</t>
  </si>
  <si>
    <t>Maîtrise supplémentaire</t>
  </si>
  <si>
    <t>Au niveau 1 également, vous gagnez la maîtrise des armures lourdes.</t>
  </si>
  <si>
    <t>Canalisation d’énergie divine : charme des animaux et des plantes</t>
  </si>
  <si>
    <t>À partir du niveau 2, vous pouvez utiliser votre Canalisation d'énergie divine pour charmer des animaux et de plantes. Par une action, vous présentez votre symbole sacré et invoquez le nom de votre divinité. Chaque créature du type bête ou plante qui peut vous voir et qui se situe dans un rayon de 9 mètres autour de vous doit réaliser un jet de sauvegarde de Sagesse. Si la créature rate son jet de sauvegarde, vous la charmez pendant 1 minute, ou jusqu'à ce qu'elle subisse des dégâts. Tant que vous la charmez, elle est amicale envers vous et toutes autres créatures que vous désignez.</t>
  </si>
  <si>
    <t>Atténuation des éléments</t>
  </si>
  <si>
    <t>À partir du niveau 6, lorsque vous ou une créature située à 9 mètres ou moins de vous prend des dégâts d'acide, de froid, de feu, de foudre ou de tonnerre, vous pouvez utiliser votre réaction pour accorder à la créature une résistance à ce type de dégâts.</t>
  </si>
  <si>
    <t>Au niveau 8, vous gagnez la possibilité d’imprégner votre arme d’énergie divine. Une fois à chacun de vos tours, lorsque vous touchez une créature avec une attaque d'arme, vous pouvez infliger 1d8 dégâts supplémentaires de froid, de feu ou de foudre (selon votre choix) à la cible. Lorsque vous atteignez le niveau 14, les dégâts supplémentaires passent à 2d8.</t>
  </si>
  <si>
    <t>Maître de la nature</t>
  </si>
  <si>
    <t>Au niveau 17, vous gagnez la possibilité de commander les animaux et les créatures végétales. Lorsque des créatures sont charmées par votre capacité de Charme des animaux et des plantes, vous pouvez utiliser une action bonus à votre tour pour commander verbalement ces créatures et leur indiquer ce qu'elles doivent faire durant leur prochain tour.</t>
  </si>
  <si>
    <t>Bénédictions du savoir</t>
  </si>
  <si>
    <t>Au niveau 1, vous apprenez deux langues de votre choix. Vous obtenez aussi la maîtrise de deux compétences de votre choix parmi les suivantes : Arcanes, Histoire, Nature ou Religion. Votre bonus de maîtrise est doublé pour les jets de caractéristiques utilisant une de ces compétences.</t>
  </si>
  <si>
    <t>Canalisation d’énergie divine : connaissances du passé</t>
  </si>
  <si>
    <t>À partir du niveau 2, vous pouvez utiliser votre Canalisation d'énergie divine pour tirer profit d'un puits de connaissance divine. Au prix d’une action, vous choisissez une compétence ou un outil. Pendant 10 minutes, vous obtenez la maîtrise de la compétence ou de l'outil choisi.</t>
  </si>
  <si>
    <t>Canalisation d’énergie divine : lecture des pensées</t>
  </si>
  <si>
    <t>Au niveau 6, vous pouvez utiliser votre Canalisation d'énergie divine pour lire les pensées d’une créature. Vous pouvez ensuite avoir accès à l’esprit de la créature et la commander. Par une action, choisissez une créature que vous pouvez voir située à 18 mètres ou moins de vous. La créature doit effectuer un jet de sauvegarde de Sagesse. Si la créature le réussi, vous ne pouvez réutiliser cette capacité sur la créature qu’après avoir terminé un repos long. Si la créature échoue, vous pouvez lire la surface de ses pensées (celles les plus en vue dans son esprit, représentant ses émotions et ce à quoi elle pense actuellement) lorsqu’elle est à 18 mètres ou moins de vous. Cet effet dure une minute. Pendant cette durée, vous pouvez utiliser votre action pour mettre fin à cet effet et lancer le sort suggestion à la créature sans consommer d’emplacement de sort. La créature échoue automatiquement son jet de sauvegarde contre ce sort.</t>
  </si>
  <si>
    <t>À partir du niveau 8, vous ajoutez votre modificateur de Sagesse aux dégâts que vous infligez avec tous sorts mineurs de clerc.</t>
  </si>
  <si>
    <t>Visions du passé</t>
  </si>
  <si>
    <t>À partir du niveau 17, vous pouvez rappeler les visions du passé en relation avec un objet que vous tenez, ou proche de vous. Vous passez au moins une minute à prier et à méditer, puis vous recevez sous forme de rêve de vagues aperçus des événements récents. Vous pouvez méditer de cette manière un nombre de minutes égal votre valeur de Sagesse et devez maintenir votre concentration comme pour lancer un sort. Une fois que vous avez utilisé cette capacité, vous ne pouvez plus l’utiliser jusqu’à ce vous terminiez un repos court ou long.
Lecture d'un objet. Si vous tenez un objet lorsque vous méditez, vous pouvez voir des visions de son précédent propriétaire. Après 1 minute de médiation, vous apprenez comment son propriétaire a acquis et perdu l’objet, ainsi que les événements importants les plus récents concernant cet objet et ce propriétaire. Si l’objet a appartenu à une autre créature dans un passé récent (un nombre de jours égal à votre valeur de Sagesse), vous pouvez passer 1 minute supplémentaire pour chaque possesseur de l’objet afin d’apprendre les mêmes informations sur ces créatures.
Lecture d'une zone. Pendant que vous méditez, vous observez des visions des environs proches (une salle, une rue, un tunnel, une clairière ou autre, d’une taille maximale d’un cube de 15 mètres d’arrête) jusqu'à un nombre de jours passés égal à votre valeur de Sagesse. Pour chaque minute passée à méditer, vous apprenez des informations sur un événement important, en commençant par le plus récent. Ces événements incluent de fortes émotions telles que des batailles ou des trahisons, mariages ou meurtres, naissances et funérailles. Cependant, ils peuvent aussi inclure des événements sans importance qui sont néanmoins important dans votre situation actuelle.</t>
  </si>
  <si>
    <t>Fureur de l'ouragan</t>
  </si>
  <si>
    <t>Au niveau 1 également, vous pouvez réprimander vos attaquants avec la puissance du tonnerre. Lorsqu’une créature que vous pouvez voir dans un rayon de 1,50 mètre autour de vous vous touche, vous pouvez utiliser votre réaction pour obliger l’attaquant à effectuer un jet de sauvegarde de Dextérité. En cas d’échec, la créature subit 2d8 dégâts de foudre ou de tonnerre (selon votre choix), ou la moitié en cas de réussite. Vous pouvez utiliser cette capacité un nombre de fois égal à votre modificateur de Sagesse (minimum 1). Vous regagnez toutes vos charges après un repos long.</t>
  </si>
  <si>
    <t>Canalisation d’énergie divine : colère destructrice</t>
  </si>
  <si>
    <t>A partir du niveau 2, vous pouvez utiliser votre Canalisation d'énergie divine pour manier la puissance de la tempête avec une férocité incontrôlée. Lorsque vous infligez des dégâts de foudre ou de tonnerre, vous pouvez utiliser votre Canalisation d'énergie divine pour effectuer des dégâts maximum au lieu de lancer des dés.</t>
  </si>
  <si>
    <t>Frappe de l'éclair</t>
  </si>
  <si>
    <t>Au niveau 6, lorsque vous infligez des dégâts de foudre à une créature de taille G ou inférieure, vous pouvez également la repousser à 3 mètres de vous.</t>
  </si>
  <si>
    <t>Au niveau 8, vous gagnez la possibilité d’imprégner votre arme d’énergie divine. Une fois à chacun de vos tours, lorsque vous touchez une créature avec une attaque d'arme, vous pouvez infliger 1d8 dégâts de tonnerre supplémentaires. Lorsque vous atteignez le niveau 14, les dégâts supplémentaires passent à 2d8.</t>
  </si>
  <si>
    <t>Fils de la tempête</t>
  </si>
  <si>
    <t>Au niveau 17, vous obtenez une vitesse de vol égale à votre vitesse de déplacement tant que vous n’êtes ni sous terre, ni dans un intérieur.</t>
  </si>
  <si>
    <t>Lorsque vous choisissez ce domaine, au niveau 1, vous gagnez la maîtrise des armures lourdes.</t>
  </si>
  <si>
    <t>Disciple de la vie</t>
  </si>
  <si>
    <t>À partir du niveau 1, vos sorts de soins sont plus efficaces. Chaque fois que vous utilisez un sort de niveau 1 ou supérieur pour redonner des points de vie à une créature, la créature regagne un nombre de points de vie additionnel égal à 2 + le niveau du sort.</t>
  </si>
  <si>
    <t>Canalisation d’énergie divine : préservation de la vie</t>
  </si>
  <si>
    <t>À partir du niveau 2, vous pouvez utiliser votre Canalisation d'énergie divine pour soigner des blessures graves. Au prix d'une action, vous présentez votre symbole sacré et invoquez une énergie curative qui redonne un montant de points de vie égal à 5 fois votre niveau de clerc. Choisissez une ou plusieurs créatures à 9 mètres ou moins de vous, et divisez ces points entre elles. Cette capacité ne peut pas ramener une créature à plus de 50% de ses points de vie maximums, et elle ne fonctionne pas sur les morts-vivants et les créatures artificielles.</t>
  </si>
  <si>
    <t>Guérisseur béni</t>
  </si>
  <si>
    <t>À partir du niveau 6, les sorts de guérison que vous lancez sur les autres vous guérissent aussi. Lorsque vous lancez un sort de niveau 1 ou supérieur pour redonner des points de vie à une créature autre que vous-même, vous regagnez un nombre de points de vie égal à 2 + le niveau du sort.</t>
  </si>
  <si>
    <t>À partir du niveau 8, vous gagnez la possibilité d’imprégner votre arme d'énergie divine. Une fois par tour, lorsque vous touchez une créature avec une attaque armée, vous pouvez infliger 1d8 dégâts radiants supplémentaires à la cible. Lorsque vous atteignez le niveau 14, les dégâts supplémentaires passent à 2d8.</t>
  </si>
  <si>
    <t>Guérison suprême</t>
  </si>
  <si>
    <t>À partir du niveau 17, quand vous auriez normalement dû lancer un ou plusieurs dés pour redonner des points de vie avec un sort, appliquez directement le maximum de chaque dé. Par exemple, au lieu de restaurer 2d6 points de vie à une créature, vous restaurez 12.</t>
  </si>
  <si>
    <t>Au niveau 1, vous gagnez la maîtrise des armures lourdes et des outils de forgeron.</t>
  </si>
  <si>
    <t>Bénédiction de la forge</t>
  </si>
  <si>
    <t>Au niveau 1, vous gagnez la capacité d'imprégner une part de magie dans votre arme ou votre armure. À la fin d'un repos long, vous pouvez toucher un objet non magique qui est une armure ou une arme courante ou de guerre. Jusqu'à la fin de votre prochain repos long, si vous ne mourrez pas avant, l'objet devient un objet magique, accordant un bonus de +1 à la CA s'il s'agit d'une armure, ou +1 à l'attaque et aux dégâts si l'objet est une arme. Vous ne pouvez utiliser cette aptitude qu'une fois entre deux repos longs.</t>
  </si>
  <si>
    <t>Canalisation d'énergie divine : bénédiction de l'artisan</t>
  </si>
  <si>
    <t>À partir du niveau 2, vous pouvez utiliser votre capacité de Canalisation d'énergie divine pour créer des objets simples.
Vous menez un rituel d'une heure qui crée un objet non-magique qui doit être composé en partie de métal : une arme courante ou de guerre, une armure, dix pièces de munitions, un ensemble d'outils ou un autre objet métallique (voir Équipement dans le Manuel des Joueurs pour des exemples d'objets). La création est terminée à la fin de l'heure et se forme dans un espace inoccupé de votre choix sur une surface dans un rayon de 1,50 mètre autour de vous. La chose que vous créez ne peut valoir plus de 100 po. Dans le cadre du rituel, vous devez utiliser du métal, des pièces ou autre, d'une valeur égale au prix de la création. Le métal se transforme irrémédiablement en la création à la fin du rituel, comme par magie, formant même les parties non métalliques de la création. Le rituel peut créer le doublon d'un élément non magique qui contient du métal, comme une clé, si vous possédez l'original pendant le rituel.</t>
  </si>
  <si>
    <t>Âme de la forge</t>
  </si>
  <si>
    <t>À partir du niveau 6, votre maîtrise de la forge vous octroie un certain nombre de capacités :
Vous gagnez la résistance aux dégâts de feu
Vous gagnez un bonus de +1 à la CA lorsque vous portez une armure lourde</t>
  </si>
  <si>
    <t>Au niveau 8, vous gagnez la capacité d'imprégner votre arme de la puissance ardente de la forge. À chacun de vos tours, lorsque vous touchez une créature lors d'une attaque avec une arme, vous pouvez ajouter 1d8 dégâts de feu supplémentaires. À partir du niveau 14, ces dégâts supplémentaires passent à 2d8.</t>
  </si>
  <si>
    <t>Saint de la forge et du feu</t>
  </si>
  <si>
    <t>Au niveau 17, votre affinité pour le feu et le métal devient plus profonde :
Vous gagnez l'immunité aux dégâts de feu
Tant que vous portez une armure lourde, vous gagnez la résistance aux dégâts contondants, perforants et tranchants provoqués par des attaques non magiques.</t>
  </si>
  <si>
    <t>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t>
  </si>
  <si>
    <t>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t>
  </si>
  <si>
    <t>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t>
  </si>
  <si>
    <t>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t>
  </si>
  <si>
    <t>L'archétype du champion se concentre sur le développement du pouvoir physique brut pour parvenir à la perfection mortelle. Ceux qui se basent sur cet archétype combinent une formation rigoureuse et une excellence physique pour porter des coups dévastateurs.</t>
  </si>
  <si>
    <t>Vous êtes un expert des manœuvres durant la bataille. Vous comptez sur la ruse et la prouesse pour vaincre vos ennemis. Une formation intense combinée à une attention constante vous propulse au combat. La victoire est un signe de plus de la suprématie martiale.</t>
  </si>
  <si>
    <t>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t>
  </si>
  <si>
    <t>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t>
  </si>
  <si>
    <t>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t>
  </si>
  <si>
    <t>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t>
  </si>
  <si>
    <t>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t>
  </si>
  <si>
    <t>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t>
  </si>
  <si>
    <t>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t>
  </si>
  <si>
    <t>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t>
  </si>
  <si>
    <t>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t>
  </si>
  <si>
    <t>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t>
  </si>
  <si>
    <t>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t>
  </si>
  <si>
    <t>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t>
  </si>
  <si>
    <t>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t>
  </si>
  <si>
    <t>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t>
  </si>
  <si>
    <t>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t>
  </si>
  <si>
    <t>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t>
  </si>
  <si>
    <t>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t>
  </si>
  <si>
    <t>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t>
  </si>
  <si>
    <t>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t>
  </si>
  <si>
    <t>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t>
  </si>
  <si>
    <t>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t>
  </si>
  <si>
    <t>Forme sauvage</t>
  </si>
  <si>
    <t>À partir du niveau 2, vous pouvez utiliser votre action pour prendre par magie la forme d'une bête que vous avez déjà vue auparavant. Vous pouvez utiliser ce pouvoir deux fois. Vous récupérez les utilisations dépensées après avoir effectué un repos court ou long.
Votre niveau de druide détermine le type de bêtes dont vous pouvez prendre l'apparence, comme indiqué dans la table ci-dessous. Au niveau 2, par exemple, vous pouvez vous transformer en n'importe quelle bête ayant un facteur de puissance de 1/4 ou inférieur et qui n'a ni vitesse de vol ni vitesse de nage.
Niv	FP max	Restrictions	                        Exemple
2	1/4	    Ni vitesse de vol, ni vitesse de nage	Loup
4	1/2	    Pas de vitesse de vol	                Crocodile
8	1	    -	                                    Aigle géant
Vous pouvez rester sous forme animale un nombre d'heures égal à la moitié de votre niveau de druide (arrondi à l'entier inférieur). Une fois le temps écoulé, vous reprenez votre forme normale à moins que vous ne dépensiez une nouvelle utilisation de cette capacité. Vous pouvez également revenir plus tôt à votre forme normale en utilisant une action bonus lors de votre tour. Vous revenez automatiquement à votre forme normale si vous tombez inconscient, si vous tombez à 0 point de vie ou si vous mourrez. Tant que vous êtes transformé, les règles suivantes s'appliquent :
Vos statistiques de jeu sont remplacées par celles de la bête, mais vous conservez votre alignement, votre personnalité et vos valeurs de Charisme, Intelligence et Sagesse. Vous conservez également vos maîtrises de jets de sauvegarde et de compétences, en plus de gagner celles de la créature. Si la créature a les mêmes maîtrises que vous et que son bonus dans ce bloc de statistique est supérieur au vôtre, utilisez son bonus. Si la créature possède des actions légendaires ou des actions de repaire, vous ne pouvez pas les utiliser.
Quand vous vous transformez, vous endossez également les points de vie de la bête et ses dés de vie. Lorsque vous reprenez votre forme vous récupérez le nombre de points de vie que vous aviez avant votre transformation. De plus, si vous vous retransformez parce que vous êtes tombé à 0 point de vie, tous les dégâts supplémentaires sont encaissés par les points de vie de votre forme normale. Par exemple, si vous subissez 10 points de dégâts sous forme animale alors que vous n'aviez plus qu'un point de vie, vous retournez à votre forme normale et encaissez 9 points de dégâts. Tant que ces dégâts résiduels ne font pas tomber les points de vie de votre forme normale à 0, vous ne sombrez pas dans l'inconscience.
Vous ne pouvez pas lancer de sorts, et votre capacité à parler ou effectuer toute action qui nécessite des mains est limitée aux possibilités qu'offre votre forme animale. Toutefois, vous transformer ne brise pas votre concentration sur un sort que vous aviez déjà lancé, ni ne vous empêche d'utiliser une action pour rediriger un sort, comme le sort appel de la foudre, que vous auriez déjà lancé.
Vous conservez les bénéfices de toutes vos capacités de classe, de race, ou de n'importe quelle autre origine, et vous pouvez les utiliser si vous en êtes physiquement capable. Cependant, vous ne pouvez pas utiliser de sens spéciaux, comme la vision dans le noir, sauf si votre forme animale les possède également.
Vous choisissez si votre équipement tombe sur le sol, fusionne avec votre nouvelle forme ou est porté par votre nouvelle forme. L'équipement porté fonctionne correctement, mais le MD décide pour chaque pièce d'équipement s'il est possible pour votre nouvelle forme de la porter, en fonction de la morphologie et de la taille de la bête. Votre équipement ne change pas de taille ou de forme pour s'adapter à votre nouvelle forme, et tout l'équipement que la nouvelle forme ne peut pas porter tombe sur le sol ou fusionne avec vous. L'équipement qui fusionne avec la nouvelle forme n'a aucun effet tant que vous restez sous cette forme.</t>
  </si>
  <si>
    <t>Parvenu au niveau 18, La magie primordiale qui vous parcourt ralentit le vieillissement de votre corps. Vous ne prenez qu'un an d'âge toutes les dix années écoulées.</t>
  </si>
  <si>
    <t>Incantation animale</t>
  </si>
  <si>
    <t>À partie du niveau 18, vous pouvez lancer sous forme animale la plupart des sorts que vous connaissez. Vous pouvez réaliser les composantes somatiques et verbales des sorts de druide lorsque vous êtes sous forme animale, mais vous ne pouvez pas lancer de sorts nécessitant une composante matérielle.</t>
  </si>
  <si>
    <t>Archidruide</t>
  </si>
  <si>
    <t>Au niveau 20, vous pouvez utiliser Forme sauvage un nombre illimité de fois par jour. De plus, vous pouvez ignorer les composantes verbales et somatiques de vos sorts de même que toute composante matérielle non coûteuse qui n'est consommée par le sort. Vous gagnez ces avantages que vous soyez sous forme normale ou animale.</t>
  </si>
  <si>
    <t>Forme sauvage de combat</t>
  </si>
  <si>
    <t>Lorsque vous choisissez ce cercle au niveau 2, vous obtenez la possibilité d'utiliser Forme sauvage durant votre tour par une action bonus, au lieu d'une action. De plus, lorsque vous êtes transformé via Forme sauvage, vous pouvez utiliser une action bonus pour dépenser un emplacement de sort et récupérer ainsi 1d8 points de vie par niveau d'emplacement de sort dépensé.</t>
  </si>
  <si>
    <t>Formes du cercle</t>
  </si>
  <si>
    <t>Les rites de votre cercle vous permettent de prendre la forme d'animaux plus dangereux. À partir du niveau 2, vous pouvez utiliser Forme sauvage pour vous transformer en une bête de facteur de puissance inférieur ou égal à 1 (ignorez la colonne FP maximum de la table Types de bêtes, vous êtes cependant toujours soumis aux autres restrictions).
À partir du niveau 6, vous pouvez vous transformer en une bête de facteur de puissance inférieur ou égal à votre niveau de druide divisé par 3, arrondi à l'entier inférieur.</t>
  </si>
  <si>
    <t>Frappe primitive</t>
  </si>
  <si>
    <t>À partir du niveau 6, vos attaques sous forme animale comptent comme des attaques magiques pour ce qui est de surmonter la résistance et l'immunité aux attaques et dégâts non magiques.</t>
  </si>
  <si>
    <t>Forme sauvage élémentaire</t>
  </si>
  <si>
    <t>Au niveau 10, vous pouvez dépenser deux utilisations de Forme sauvage en même temps pour vous transformer en un élémentaire de l'air, de l'eau, de la terre ou du feu.</t>
  </si>
  <si>
    <t>Mille formes</t>
  </si>
  <si>
    <t>Au niveau 14, vous avez appris à utiliser la magie pour améliorer votre forme physique de façon plus subtile. Vous pouvez lancer le sort modification d'apparence à volonté.</t>
  </si>
  <si>
    <t>Lorsque vous choisissez ce cercle au niveau 2, vous apprenez un sort mineur de druide supplémentaire de votre choix.</t>
  </si>
  <si>
    <t>Récupération naturelle</t>
  </si>
  <si>
    <t>À partir du niveau 2, vous pouvez récupérer une partie de votre énergie magique en méditant et communiant avec la nature. Lors d'un repos court, vous choisissez les emplacements de sorts que vous souhaitez récupérer. Les emplacements de sorts doivent avoir un niveau cumulé inférieur ou égal à la moitié de votre niveau de druide (arrondi à l'entier supérieur), et aucun de ces emplacements ne doit être de niveau 6 ou supérieur. Vous ne pouvez pas utiliser de nouveau cette capacité avant d'avoir terminé un repos long. Par exemple, si vous êtes un druide de niveau 4, vous pouvez récupérer jusqu'à deux niveaux d'emplacement de sort. Vous pouvez soit choisir un emplacement de sort de niveau 2, soit deux emplacements de sorts de niveau 1.</t>
  </si>
  <si>
    <t>Sorts de cercle</t>
  </si>
  <si>
    <t>Votre connexion mystique à la terre vous permet de lancer certains sorts. Aux niveaux 3, 5, 7 et 9, vous accédez à des sorts de cercle liés à la terre qui vous a vu devenir druide. Choisissez ce terrain (arctique, désert, forêt, littoral, marais, montagne, plaine ou Outreterre) et consultez la liste de sorts associée. Une fois que vous gagnez accès à un sort de cercle, ce sort est constamment préparé et ne compte pas dans le total de sorts que vous pouvez préparer chaque jour. Si vous accédez à un sort qui n'apparaît pas dans la liste de sorts du druide, ce sort est néanmoins considéré comme étant un sort de druide pour vous.
Arctique
Niveau de druide     Sorts de cercle
3	                 croissance d'épines, immobilisation de personne
5	                 lenteur, tempête de neige
7	                 liberté de mouvement, tempête de grêle
9	                 communion avec la nature, cône de froid
Désert
Niveau de druide	Sorts de cercle
3	                flou, silence
5	                création de nourriture et d'eau, protection contre une énergie
7	                flétrissement, terrain hallucinatoire
9	                fléau d'insectes, mur de pierre
Forêt
Niveau de druide	Sorts de cercle
3	                pattes d'araignée, peau d'écorce
5	                appel de la foudre, croissance végétale
7	                divination, liberté de mouvement
9	                communion avec la nature, passage par les arbres
Littoral
Niveau de druide	Sorts de cercle
3	                image miroir, pas brumeux
5	                marche sur l'eau, respiration aquatique
7	                contrôle de l'eau, liberté de mouvement
9	                invocation d'élémentaire, scrutation
Marais
Niveau de druide	Sorts de cercle
3	                flèche acide de Melf, ténèbres
5	                marche sur l'eau, nuage puant
7	                liberté de mouvement, localisation de créature
9	                fléau d'insectes, scrutation
Montagne
Niveau de druide	Sorts de cercle
3	                croissance d'épines, pattes d'araignée
5	                éclair, fusion dans la pierre
7	                façonnage de la pierre, peau de pierre
9	                mur de pierre, passe-muraille
Plaine
Niveau de druide	Sorts de cercle
3	                invisibilité, passage sans trace
5	                hâte, lumière du jour
7	                divination, liberté de mouvement
9	                fléau d'insectes, rêve
Outreterre
Niveau de druide	Sorts de cercle
3	                pattes d'araignée, toile d'araignée
5	                forme gazeuse, nuage puant
7	                façonnage de la pierre, invisibilité supérieure
9	                fléau d'insectes, nuage mortel</t>
  </si>
  <si>
    <t>Traversée des terrains</t>
  </si>
  <si>
    <t>À partir du niveau 6, vous déplacer sur un terrain difficile non magique ne vous coûte pas de déplacement supplémentaire. Vous pouvez également traverser la végétation non magique sans être ralenti et sans subir de dégâts si elle est constituée d'épines, de pointes ou d'autres inconvénients similaires. De plus, vous avez un avantage aux jets de sauvegarde contre les plantes qui ont été créées magiquement ou manipulées pour empêcher les mouvements, comme celles créées par le sort enchevêtrement.</t>
  </si>
  <si>
    <t>Protection de la nature</t>
  </si>
  <si>
    <t>Lorsque vous atteignez le niveau 10, vous ne pouvez plus être charmé ou effrayé par les élémentaires ou les fées, et vous êtes immunisé contre les poisons et les maladies.</t>
  </si>
  <si>
    <t>Sanctuaire de la nature</t>
  </si>
  <si>
    <t>Lorsque vous atteignez le niveau 14, les créatures du monde naturel ressentent votre connexion avec la nature et hésitent à vous attaquer. Quand une bête ou une plante vous attaque, cette créature doit réussir un jet de sauvegarde de Sagesse contre votre DD de sort de druide. Si elle échoue, la créature doit choisir une autre cible, ou bien l'attaque rate automatiquement. En cas de jet de sauvegarde réussi, la créature est immunisée à cet effet pour 24 heures. La créature est consciente de cet effet avant qu'elle n'effectue son attaque contre vous.</t>
  </si>
  <si>
    <t>Vous avez 2 points de sorcellerie, et vous en gagnez plus à des niveaux supérieurs, comme indiqué dans la colonne de Points de sorcellerie de la table ci-dessus. Vous ne pouvez jamais avoir plus de points de sorcellerie que ce que vous permet votre niveau dans la table ci-dessus. Vous récupérez tous les points de sorcellerie utilisés lorsque vous terminez un repos long.</t>
  </si>
  <si>
    <t>Flexibilité des sorts</t>
  </si>
  <si>
    <t>Vous pouvez utiliser vos points de sorcellerie pour gagner des emplacements de sorts supplémentaires ou sacrifier des emplacements de sorts pour gagner des points de sorcellerie supplémentaires. Vous apprenez d'autres façons d'utiliser vos points de sorcellerie lorsque vous atteignez des niveaux plus élevés. Tout emplacement de sort créé de cette manière disparaît lorsque vous terminez un repos long.
Création d'emplacements de sorts. Vous pouvez transformer des points de sorcellerie inutilisés en un emplacement de sort par une action bonus à votre tour. La table ci-dessous indique le coût pour créer un emplacement de sort d'un niveau donné. Vous ne pouvez pas créer d’emplacements de sorts d'un niveau supérieur à 5.
Niveau d'emplacement de sort - Coût en points de sorcellerie
1	                         - 2
2	                         - 3
3	                         - 5
4	                         - 6
5	                         - 7
Convertir un emplacement de sort en points de sorcellerie. Par une action bonus à votre tour, vous pouvez dépenser un emplacement de sort et gagner un nombre de points de sorcellerie égal au niveau d'emplacement.</t>
  </si>
  <si>
    <t>Métamagie</t>
  </si>
  <si>
    <t>Au niveau 3, vous gagnez la possibilité d’altérer vos sorts en fonction de vos besoins. Vous gagnez deux des options de métamagie suivantes de votre choix. Vous en gagnez une autre aux niveaux 10 et 17. Sauf indication contraire, vous ne pouvez utiliser sur un sort qu'une seule option de métamagie lorsque vous le lancez.</t>
  </si>
  <si>
    <t>Sort accéléré</t>
  </si>
  <si>
    <t>Lorsque vous lancez un sort qui a un temps d'incantation de 1 action, vous pouvez dépenser 2 points de sorcellerie pour changer le temps d'incantation à 1 action bonus pour lancer ce sort.</t>
  </si>
  <si>
    <t>Sort distant</t>
  </si>
  <si>
    <t>Quand vous lancez un sort qui a une portée de 1,50 mètre ou plus, vous pouvez dépenser 1 point de sorcellerie pour doubler la portée du sort. Si le sort a une portée de contact, vous pouvez dépenser 1 point de sorcellerie pour faire passer sa portée à 9 mètres.</t>
  </si>
  <si>
    <t>Sort étendu</t>
  </si>
  <si>
    <t>Lorsque vous lancez un sort qui a une durée de 1 minute ou plus, vous pouvez dépenser 1 point de sorcellerie pour doubler sa durée (maximum 24 heures).</t>
  </si>
  <si>
    <t>Sort intense</t>
  </si>
  <si>
    <t>Lorsque vous lancez un sort qui oblige une créature à faire un jet de sauvegarde pour résister à ses effets, vous pouvez dépenser 3 points de sorcellerie pour donner à une cible du sort un désavantage à son premier jet de sauvegarde contre le sort.</t>
  </si>
  <si>
    <t>Sort jumeau</t>
  </si>
  <si>
    <t>Quand vous lancez un sort qui a pour cible une seule créature et qui n'a pas une portée personnelle, vous pouvez dépenser un nombre de points de sorcellerie égal au niveau du sort pour viser une deuxième créature à portée avec le même sort (1 point de sorcellerie si le sort est un sort mineur).
Pour pouvoir utiliser cette option de métamagie, le sort doit être incapable de cibler plus d'une créature au niveau auquel il est lancé. Par exemple, rayon de givre fonctionne avec cette option mais pas projectile magique ni rayon ardent.</t>
  </si>
  <si>
    <t>Sort prudent</t>
  </si>
  <si>
    <t>Lorsque vous lancez un sort qui force les autres créatures à faire un jet de sauvegarde, vous pouvez libérer de cette obligation du sort certaines de ces créatures. Pour ce faire, dépensez 1 point de sorcellerie et choisissez un nombre de créatures égal à votre modificateur de Charisme (minimum 1 créature). Chaque créature choisie réussie automatiquement sur son jet de sauvegarde contre le sort.</t>
  </si>
  <si>
    <t>Sort puissant</t>
  </si>
  <si>
    <t>Lorsque vous jetez les dégâts pour un sort, vous pouvez dépenser 1 point de sorcellerie pour relancer un nombre de dés de dégâts égal à votre modificateur de Charisme (minimum 1). Vous devez forcément utiliser les nouveaux dégâts. Vous pouvez utiliser Sort puissant même si vous avez déjà utilisé une option différente de métamagie lors du lancer de ce sort.</t>
  </si>
  <si>
    <t>Sort subtil</t>
  </si>
  <si>
    <t>Lorsque vous lancez un sort, vous pouvez dépenser 1 point de sorcellerie pour le lancer sans composantes somatiques ou verbales.</t>
  </si>
  <si>
    <t>Restauration magique</t>
  </si>
  <si>
    <t>Au niveau 20, vous regagnez 4 points de sorcellerie dépensés chaque fois que vous terminez un repos court.</t>
  </si>
  <si>
    <t>Ancêtre dragon</t>
  </si>
  <si>
    <t>Au niveau 1, vous choisissez un type de dragon comme votre ancêtre. Le type de dégât associé à chaque dragon est utilisé par les capacités que vous gagnerez plus tard.
Dragon	Type de dégâts
Blanc	Froid
Bleu	Foudre
Noir	Acide
Rouge	Feu
Vert	Poison
Airain	Feu
Argent	Froid
Bronze	Foudre
Cuivre	Acide
Or	    Feu
Vous pouvez parler, lire et écrire le draconique. De plus, chaque fois que vous faites un jet de Charisme pour interagir avec des dragons, votre bonus de maîtrise est doublé s’il s’applique au jet.
Résistance draconique</t>
  </si>
  <si>
    <t>Résistance draconique</t>
  </si>
  <si>
    <t>La magie qui coule à travers votre corps fait émerger des traits physiques de vos ancêtres dragons. Au niveau 1, vos points de vie maximums augmentent de 1 et également de 1 à chaque fois que vous gagnez un niveau dans cette classe. En outre, des parties de votre peau sont couvertes d’un mince reflet d’écailles de dragon. Lorsque vous ne portez pas d'armure, votre CA est égale à 13 + votre modificateur de Dextérité.</t>
  </si>
  <si>
    <t>Affinité élémentaire</t>
  </si>
  <si>
    <t>À partir du niveau 6, lorsque vous lancez un sort qui inflige des dégâts du type associé à votre ascendance draconique, vous pouvez ajouter votre modificateur de Charisme aux dégâts d'un seul jet. Dans le même temps, vous pouvez dépenser 1 point de sorcellerie pour gagner une résistance à ce type de dégâts pendant 1 heure.</t>
  </si>
  <si>
    <t>Ailes de dragon</t>
  </si>
  <si>
    <t>Au niveau 14, vous obtenez la possibilité de faire pousser une paire d'ailes de dragon dans votre dos et gagnez une vitesse de vol égale à votre vitesse actuelle. Vous pouvez créer ces ailes en une action bonus à votre tour. Elles durent jusqu'à ce que vous les rejetiez par une action bonus à votre tour. Vous ne pouvez pas faire apparaître vos ailes si vous portez une armure, sauf si l'armure est faite pour les accueillir. De même, des vêtements non prévus pour accueillir vos ailes pourraient être détruits lorsque vous les faîtes apparaître.</t>
  </si>
  <si>
    <t>Présence draconique</t>
  </si>
  <si>
    <t>À partir du niveau 18, vous pouvez canaliser la présence effrayante de votre ancêtre dragon, causant autour de vous la terreur ou la fascination. En une action, vous pouvez dépenser 5 points de sorcellerie pour déclencher ce pouvoir et dégager une aura de fascination ou de peur (à votre choix) sur une distance de 18 mètres. Pendant 1 minute ou jusqu'à ce que vous perdiez votre concentration (comme lorsqu'on lance un sort avec concentration), chaque créature hostile qui commence son tour dans cette aura doit réussir un jet de sauvegarde de Sagesse ou être charmée (si vous avez choisi la fascination) ou effrayée (si vous avez choisi la peur) jusqu'à ce que l'aura se termine. Une créature qui réussit sur ce jet de sauvegarde est immunisée de votre aura pendant 24 heures.</t>
  </si>
  <si>
    <t>Sursaut de magie sauvage</t>
  </si>
  <si>
    <t>Dès lors que vous choisissez cette origine au niveau 1, vos sorts peuvent déclencher des poussées de magie incontrôlables. Une fois par tour, le MD peut vous demander de lancer un d20, immédiatement après que vous ayez lancé un sort d'ensorceleur du niveau 1 ou plus. Si vous obtenez un 1, vous déclenchez un effet magique aléatoire. Reportez-vous au tableau ci-dessous de Sursauts de magie sauvage pour déterminer les effets du résultat. Si l'effet de la magie sauvage est un sort, celui-ci est trop violent pour être affecté par votre métamagie. S'il demande normalement de la concentration, dans ce cas il n'en demande pas ; le sort persiste pour sa durée totale.</t>
  </si>
  <si>
    <t>Vague de chaos</t>
  </si>
  <si>
    <t>À partir du niveau 1, vous pouvez manipuler les forces du hasard et du chaos pour gagner l'avantage sur un jet d'attaque, un jet de caractéristique ou un jet de sauvegarde. Lorsque vous le faites, vous devez terminer un repos long avant de pouvoir l'utiliser à nouveau.
Tant que vous n'avez pas récupéré l'usage de cette capacité, si vous lancez un sort d'ensorceleur de niveau 1 ou plus, le MD peut vous demander de faire un jet de Sursaut de magie sauvage (d100). Quel qu'en soit le résultat, vous récupérez ensuite cette capacité.</t>
  </si>
  <si>
    <t>Chance forcée</t>
  </si>
  <si>
    <t>À partir du niveau 6, vous obtenez la capacité d'altérer le destin en utilisant votre magie sauvage. Lorsqu'une créature que vous voyez fait un jet d'attaque, de caractéristique ou de sauvegarde, vous pouvez utiliser votre réaction et dépenser 2 points de sorcellerie pour jeter 1d4 et appliquer le chiffre comme bonus ou malus (au choix) au résultat de la créature. Vous pouvez faire ceci après que la créature ait jeté les dés mais avant que l'effet du jet ne soit annoncé.</t>
  </si>
  <si>
    <t>Chaos contrôlé</t>
  </si>
  <si>
    <t>Au niveau 14, vous commencez à contrôler vos Sursauts de magie sauvage. À chaque fois que vous faites un jet de Sursaut de magie sauvage (d100), vous pouvez lancez 2 fois les dés et conserver le résultat que vous souhaitez.</t>
  </si>
  <si>
    <t>Bombardement de sort</t>
  </si>
  <si>
    <t>À partir du niveau 18, l'énergie néfaste de vos sorts s'intensifie. Lorsque vous faites un jet de dégâts pour un sort et que vous obtenez la plus haute valeur possible sur au moins un des dés, choisissez l'un de ces dés, relancez-le et ajoutez le résultat au total des dégâts. Vous ne pouvez utiliser cette capacité qu'une fois par tour.
d100	Effet
01-02	Au début de vos prochains tours, refaites un jet de Sursaut de magie sauvage (ignorez ce résultat sur des jets consécutifs). Cet effet dure une minute.
03-04	Pendant une minute, vous pouvez voir toutes les créatures invisibles tant qu'elles sont dans votre champs de vision.
05-06	Un modron (créature artificielle) choisi et contrôlé par le MD apparaît dans un espace inoccupé à 1,50 mètre de vous. Il disparaît une minute plus tard.
07-08	Vous lancez le sort boule de feu de niveau 3 centré sur vous.
09-10	Vous lancez un sort projectile magique de niveau 5.
11-12	Jetez un d10. Votre taille varie de 2,50 cm x le résultat du jet. Si le résultat est paire vous grandissez, s'il est impair, vous rapetissez.
13-14	Vous lancez le sort confusion centré sur vous-même.
15-16	Pendant une minute, vous regagnez 5 points de vie au début de chacun de vos tours.
17-18	Une longue barbe faite de plumes vous pousse soudainement. Celle-ci s'évanouit dans un nuage de plumes lorsque vous éternuez.
19-20	Vous lancez le sort graisse centré sur vous-même.
21-22	Les créatures ont un désavantage à leur jets de sauvegarde contre le prochain sort que vous lancez dans la minute qui suit.
23-24	Votre peau devient bleu. Un sort de délivrance des malédictions peut mettre fin à cet effet.
25-26	Un oeil apparaît sur votre front pendant une minute. Pendant cette durée, vous avez l'avantage à vos jets de Perception (Sagesse) qui se basent sur la vue.
27-28	Pendant une minute, tout vos sorts dont le temps d'incantation est d'1 action ont un temps d'incantation d'1 action bonus.
29-30	Vous vous téléportez à 18 mètres dans un espace inoccupé que vous pouvez voir.
31-32	Vous êtes transporté dans le Plan Astral jusqu'à la fin de votre prochain tour, après quoi vous retournez à votre position d'origine, dans l'espace innocupé le plus proche.
33-34	Le prochain sort que vous lancez dans la minute qui suit fait le maximum de dégâts.
35-36	Jetez un d10. Votre âge varie d'un nombre d'années équivalent au résultat du jet. Si le résultat est pair, vous vieillissez, sinon vous rajeunissez (minimum 1 an).
37-38	1d6 flumphs contrôlés par le MD apparaissent dans un périmètre de 18 mètres et ont peur de vous. Ils disparaissent au bout d'une minute.
39-40	Vous regagnez 2d10 points de vie.
41-42	Vous vous transformez en plante en pot jusqu'au début de votre prochain tour. Sous cette forme, vous êtes incapable d'agir et avez la vulnérabilité à tous les types de dégâts. Si vous tombez à 0 point de vie, votre pot casse et vous retrouvez votre forme d'origine.
43-44	Pendant une minute, vous pouvez utiliser à chaque tour votre action bonus pour vous téléporter dans un rayon de 6 mètres.
45-46	Vous lancez le sort lévitation sur vous.
47-48	Une licorne contrôlée par le MD apparaît à 1,50 mètre de vous puis disparaît une minute plus tard.
49-50	Vous ne pouvez plus parler pendant une minute. A chaque fois que vous essayez, des bulles roses sortent de votre bouche.
51-52	Un bouclier spectral vous entoure pendant une minute, vous faisant bénéficier d'une bonus de +2 à la CA et de l'immunité au sort projectile magique.
53-54	Vous êtes immunisé à l'intoxication par l'alcool pour les 5d6 prochains jours.
55-56	Vos cheveux tombent puis repoussent progressivement durant les prochaines 24 h.
57-58	Pour la prochaine minute, tout objet inflammable que vous touchez qui n'est ni porté ni équipé par une autre créature prend feu.
59-60	Vous regagnez votre emplacement de sort dépensé le plus faible.
61-62	Pendant une minute, vous criez lorsque vous essayez de parler.
63-64	Vous lancez le sort nappe de brouillard centré sur vous-même.
65-66	Jusqu'à 3 créatures, que vous choisissez, situées à 9 mètres ou moins de vous, prennent 4d10 dégâts de foudre.
67-68	Vous êtes effrayé par la créature la plus proche de vous jusqu'à la fin de votre prochain tour.
69-70	Toutes les créatures dans un rayon de 9 mètres deviennent invisibles pendant une minute. L'invisibilité prend fin lorsque la créature attaque ou lance un sort.
71-72	Vous obtenez la résistance à tous les dégâts pendant une minute.
73-74	Une créature aléatoire située dans un rayon de 18 mètres est empoisonnée pendant 1d4 heures.
75-76	Vous vous mettez à briller dans un rayon de 9 mètres pendant une minute. Toute créature finissant son tour à 1,50 mètre de vous est aveuglée jusqu'à la fin de son prochain tour.
77-78	Vous lancez le sort métamorphose sur vous-même. Si vous ratez votre jet de sauvegarde, vous vous transformez en mouton pour la durée du sort.
79-80	Des illusions de papillons et de pétales de fleur flottent autour de vous dans un rayon de 3 mètres pendant une minute.
81-82	Vous obtenez 1 action supplémentaire immédiatement.
83-84	Toutes les créatures à 9 mètres ou moins prennent 1d10 de dégâts nécrotiques. Vous regagnez autant de points de vie que de dégâts infligés.
85-86	Vous lancez le sort image miroir.
87-88	Vous lancez le sort vol sur une créature aléatoire dans un rayon de 18 mètres.
89-90	Vous devenez invisible pendant une minute. Pendant ce temps, les autres créatures ne peuvent pas vous entendre. L'invisibilité prend fin lorsque vous attaquez ou lancez un sort.
91-92	Si vous mourrez dans la minute qui suit, vous revenez immédiatement à la vie comme si vous étiez touché par le sort résurrection.
93-94	Votre taille augmente d'une catégorie pendant une minute.
95-96	Vous et toutes les créatures dans un rayon de 9 mètres obtenez la vulnérabilité aux dégâts perforants pendant une minute.
97-98	Vous êtes entouré d'une faible musique éthérée pendant une minute.
99-100	Vous regagnez tous vos points de sorcellerie.</t>
  </si>
  <si>
    <t>Second souffle</t>
  </si>
  <si>
    <t>Vous possédez une réserve d'endurance limitée dans laquelle vous pouvez puiser pour vous protéger contre les dégâts. À votre tour vous pouvez utiliser une action bonus pour regagner un nombre de pv égal à 1d10 + votre niveau de guerrier. Une fois cette capacité utilisée, vous devez terminer un repos court ou long pour pouvoir l'utiliser de nouveau.</t>
  </si>
  <si>
    <t>Sursaut</t>
  </si>
  <si>
    <t>À partir du niveau 2, à votre tour, vous pouvez réaliser une action supplémentaire en plus de votre action normale et de votre éventuelle action bonus. Une fois cette capacité utilisée, vous devez terminer un repos court ou long pour pouvoir l'utiliser de nouveau. À partir du niveau 17, vous pouvez utiliser cette capacité deux fois entre deux repos, mais une seule fois par tour.</t>
  </si>
  <si>
    <t>Au niveau 4, puis par la suite aux niveaux 6, 8, 12, 14, 16 et 19, vous pouvez augmenter une valeur de caractéristique de votre choix de +2, ou bien augmenter deux valeurs de caractéristique de votre choix de +1. Vous ne pouvez cependant pas augmenter une caractéristique au-delà de 20 par ce biais.</t>
  </si>
  <si>
    <t>À partir du niveau 5, vous pouvez attaquer deux fois, au lieu d'une seule, chaque fois que vous réalisez l’action Attaquer durant votre tour. Le nombre d'attaques augmente à trois lorsque vous atteignez le niveau 11 dans cette classe et à quatre lorsque vous atteignez le niveau 20 dans cette classe.</t>
  </si>
  <si>
    <t>Indomptable</t>
  </si>
  <si>
    <t>À partir du niveau 9, vous pouvez relancer un jet de sauvegarde que vous avez raté. Si vous le faites, vous devez obligatoirement utiliser le nouveau résultat, et ne pouvez pas utiliser de nouveau cette capacité avant d'avoir terminé un repos long. Vous pouvez utiliser cette capacité deux fois entre deux repos longs à partir du niveau 13 et trois fois entre deux repos longs à partir du niveau 17.</t>
  </si>
  <si>
    <t>Critique amélioré</t>
  </si>
  <si>
    <t>À partir du niveau 3, vos attaques avec des armes sont considérées comme un coup critique sur un jet naturel de 19 ou 20.</t>
  </si>
  <si>
    <t>Athlète remarquable</t>
  </si>
  <si>
    <t>À partir du niveau 7, vous pouvez ajouter la moitié de votre bonus de maîtrise (arrondi au supérieur) à tout jet de Force, Dextérité ou Constitution que vous effectuez et qui n'utilise pas déjà ce bonus de maîtrise. En outre, lorsque vous effectuez un saut en longueur, la distance que vous pouvez couvrir augmente d'une distance égale à votre modificateur de Force x 30 cm.</t>
  </si>
  <si>
    <t>Style de combat supplémentaire</t>
  </si>
  <si>
    <t>Au niveau 10, vous pouvez choisir une deuxième option pour la capacité de Style de combat.</t>
  </si>
  <si>
    <t>Critique supérieur</t>
  </si>
  <si>
    <t>À partir du niveau 15, vos attaques avec des armes sont considérées comme un coup critique sur un jet naturel de 18, 19 ou 20.</t>
  </si>
  <si>
    <t>Survivant</t>
  </si>
  <si>
    <t>À partir du niveau 18, au début de chacun de vos tours, vous récupérez un nombre de points de vie égal à 5 + votre modificateur de Constitution s'il ne vous reste pas plus de la moitié de vos points de vie initiaux. Vous ne gagnez pas cet avantage si vous êtes à 0 point de vie.</t>
  </si>
  <si>
    <t>Supériorité au combat</t>
  </si>
  <si>
    <t>Quand vous choisissez cet archétype au niveau 3, vous apprenez des manœuvres qui utilisent des dés spéciaux nommés « dés de supériorité ».
Manœuvres. Vous apprenez trois manœuvres de votre choix, qui sont détaillées dans « Manœuvres » plus bas. Chaque manœuvre améliore une attaque d'une certaine manière. Vous ne pouvez utiliser qu'une seule manœuvre par attaque. Vous apprenez deux manœuvres additionnelles de votre choix au niveau 7, 10 et 15. Chaque fois que vous apprenez une nouvelle manœuvre, vous pouvez aussi remplacer une manœuvre déjà connue par une nouvelle.
Dés de supériorité. Vous avez quatre dés de supériorité, qui sont des d8. Un dé de supériorité est dépensé quand vous l’utilisez. Vous regagnez tous vos dés de supériorité dépensés lorsque vous terminez un repos court ou long. Vous gagnez un dé de supériorité supplémentaire au niveau 7 ainsi qu’au niveau 15.
Jets de sauvegarde. Certaines de vos manœuvres requièrent de votre cible un jet de sauvegarde pour résister à ses effets. Le DD de ce jet de sauvegarde est :
DD du jet de sauvegarde contre la manœuvre = 8 + votre bonus de maîtrise + votre modificateur de Force ou de Dextérité (au choix)</t>
  </si>
  <si>
    <t>Étudiant de guerre</t>
  </si>
  <si>
    <t>Au niveau 3, vous gagnez la maîtrise d'un outil d'artisan de votre choix.</t>
  </si>
  <si>
    <t>Connaître son ennemi</t>
  </si>
  <si>
    <t>À partir du niveau 7, si vous passez au moins 1 minute à observer ou à interagir avec une créature en n'étant pas engagé dans un combat, vous pouvez apprendre certaines informations à propos de ses capacités comparées aux vôtres. Le MD vous dit si la créature est égale, supérieure ou inférieure à vous par rapport à deux des caractéristiques suivantes de votre choix :
Force
Dextérité
Constitution
classe d'armure
points de vie actuels
total des niveaux de classe (le cas échéant)
niveau de guerrier (le cas échéant)</t>
  </si>
  <si>
    <t>Supériorité au combat améliorée</t>
  </si>
  <si>
    <t>À partir du niveau 10, vos dés de supériorité deviennent des d10. À partir du niveau 18 ils deviennent des d12.</t>
  </si>
  <si>
    <t>Implacable</t>
  </si>
  <si>
    <t>À partir du niveau 15, si lorsque vous lancez votre jet d’initiative vous n’avez plus de dés de supériorité disponibles, vous en regagnez un.</t>
  </si>
  <si>
    <t>Manœuvres</t>
  </si>
  <si>
    <t>Attaque de manœuvre. Si vous touchez une créature lors d'une attaque avec une arme, vous pouvez dépenser un dé de supériorité pour placer l’un de vos alliés dans une position avantageuse. Ajoutez votre dé de supériorité aux dégâts et choisissez une créature amicale qui peut vous voir ou vous entendre. Cette créature pourra utiliser sa réaction pour se déplacer de la moitié de sa vitesse sans provoquer d'attaque d’opportunité de la part de la cible de votre attaque.
Attaque menaçante. Si vous touchez une créature lors d'une attaque avec une arme, vous pouvez dépenser un dé de supériorité pour tenter d’effrayer la cible. Ajoutez votre dé de supériorité aux dégâts, et la cible doit faire un jet de sauvegarde de Sagesse. En cas d'échec, la cible est effrayée jusqu'à la fin de votre prochain tour.
Attaque précise. Si vous réalisez une attaque avec une arme, vous pouvez dépenser un dé de supériorité et l’ajouter au jet d'attaque. Vous pouvez utiliser cette manœuvre avant ou après avoir lancé le jet d'attaque, mais avant qu'un quelconque effet de l'attaque ne s'applique.
Balayage. Si vous touchez une créature lors d'une attaque avec une arme au corps à corps, vous pouvez dépenser un dé de supériorité pour tenter de frapper une autre créature avec la même attaque. Choisissez une autre créature dans un rayon de 1,50 mètre autour de la cible originale et à votre portée. Si votre jet d'attaque contre votre première cible permet également de toucher la seconde, vous infligez à cette dernière les dégâts de votre dé de supériorité. Les dégâts seront du même type sur ceux de la première attaque.
Croche-pied. Si vous touchez une créature lors d'une attaque avec une arme, vous pouvez utiliser un dé de supériorité pour tenter de mettre votre cible à terre. Ajoutez votre dé de supériorité aux dégâts, et si la cible est de taille G ou plus petite elle devra faire un jet de sauvegarde de Force. En cas d’échec, votre cible tombe à terre.
Désarmement. Si vous touchez une créature lors d'une attaque avec une arme, vous pouvez dépenser un dé de supériorité pour tenter de désarmer la cible, la forçant à lâcher un objet de votre choix qu’elle a en main. Vous ajoutez le dé de supériorité aux dégâts de l’attaque, et la cible doit faire un jet de sauvegarde de Force. En cas d’échec, elle lâche l’objet que vous avez désigné. L’objet tombe à ses pieds.
Distraction. Si vous touchez une créature lors d'une attaque avec une arme, vous pouvez dépenser un dé de supériorité pour distraire la créature et provoquer une ouverture pour vos alliés. Ajoutez votre dé de supériorité à vos dégâts. La prochaine attaque contre votre cible aura l'avantage si ce n’est pas vous qui frappez et si elle est faite avant le début de votre prochain tour.
Feinte. Vous pouvez dépenser un dé de supériorité et utiliser une action bonus à votre tour pour faire une feinte, ciblant une créature dans un rayon de 1,50 mètre autour de vous. Vous avez l'avantage à votre prochain jet d'attaque contre cette créature durant ce tour. Si cette attaque touche, ajoutez votre dé de supériorité aux dégâts. L'avantage est perdu si vous ne l'utilisez pas durant le tour où vous l'avez obtenu.
Fente. Si vous réalisez une attaque avec une arme au corps à corps durant votre tour, vous pouvez dépenser un dé de supériorité pour augmenter l'allonge de votre frappe de 1,50 mètre. Si vous touchez, ajoutez votre dé de supériorité aux dégâts.
Frappe dirigée. Si vous utilisez votre action Attaquer à votre tour, vous pouvez renoncer à l’une de vos attaques et utiliser une action bonus pour diriger l’un de vos compagnons dans sa frappe. Choisissez une créature amicale qui peut vous voir ou vous entendre et utilisez un dé de supériorité. Cette créature peut immédiatement utiliser sa réaction pour faire une attaque avec une arme, en ajoutant le dé de supériorité aux dégâts.
Jeu de jambes défensif. Si vous effectuez un déplacement, vous pouvez dépenser un dé de supériorité, jeter le dé et ajouter le résultat à votre CA jusqu'à la fin de votre déplacement.
Parade. Si une créature vous touche avec une attaque au corps à corps, vous pouvez utiliser votre réaction et un dé de supériorité pour réduire les dégâts d'un montant égal à votre résultat au dé de supériorité + votre modificateur de Dextérité.
Provocation. Si vous touchez une créature lors d'une attaque avec une arme, vous pouvez dépenser un dé de supériorité pour tenter d’inciter la cible à vous attaquer. Ajoutez votre dé de supériorité aux dégâts, et la cible doit faire un jet de sauvegarde de Sagesse. En cas d’échec, la cible a un désavantage à tous ses jets d’attaque contre d’autre cible que vous jusqu’à la fin de votre prochain tour.
Rallier. À votre tour, vous pouvez utiliser une action bonus et un dé de supériorité pour renforcer la volonté d’un de vos alliés. Dans ce cas, choisissez un allié qui peut vous voir ou vous entendre. Cette créature gagne un nombre de pv temporaires égal au résultat du dé de supériorité + votre modificateur de Charisme.
Repousser. Si vous touchez une créature lors d'une attaque avec une arme, vous pouvez dépenser un dé de supériorité pour tenter de repousser la cible. Ajoutez votre dé de supériorité aux dégâts, et si la cible est de taille G ou plus petite, elle devra faire un jet de sauvegarde de Force. En cas d’échec, vous repoussez la cible à 4,50 mètres de vous.
Riposte. Si une créature vous rate lors d'une attaque au corps à corps, vous pouvez utiliser votre réaction et un dé de supériorité pour faire une attaque avec une arme au corps à corps contre cette créature. Si vous touchez, ajoutez votre dé de supériorité aux dégâts.</t>
  </si>
  <si>
    <t>Incantations</t>
  </si>
  <si>
    <t>Lorsque vous atteignez le niveau 3, vous augmentez vos prouesses martiales avec la possibilité de lancer des sorts.
Sorts mineurs. Vous apprenez deux sorts mineurs de votre choix dans la liste de sorts de magicien. Vous apprenez un autre sort mineur de votre choix au niveau 10.
Sorts connus de niveau 1 et supérieur. Vous connaissez trois sorts de magicien de niveau 1 de votre choix, dont deux que vous devez choisir dans les écoles d'abjuration et d'évocation. La colonne Sorts connus indique à quel niveau vous apprenez plus de sorts de magicien de niveau 1 ou supérieur. Chacun de ces sorts doit être des écoles d’abjuration ou d’évocation,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d’abjuration ou d‘évocation, à moins que vous ne remplaciez le sort que vous avez acquis au niveau 3, 8, 14 ou 20 de n'importe quelle école de magie.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t>
  </si>
  <si>
    <t>Lien avec une arme</t>
  </si>
  <si>
    <t>Au niveau 3, vous apprenez un rituel qui crée un lien magique entre vous et une arme. Vous effectuez le rituel pendant 1 heure, ce qui peut être effectué pendant un repos court. L'arme doit être à votre portée tout au long du rituel, à l'issue duquel vous touchez l'arme et forgez le lien. Une fois que vous vous êtes lié avec une arme, vous ne pouvez pas être désarmé de cette arme, sauf si vous êtes incapable d'agir. Si l'arme se trouve sur le même plan d'existence que vous, vous pouvez invoquer cette arme par une action bonus à votre tour, l'amenant à se téléporter instantanément dans votre main. Vous pouvez être lié à un maximum de deux armes, mais ne pouvez en invoquer qu'une seule à la fois avec votre action bonus. Si vous essayez de vous lier à une troisième arme, vous devez rompre le lien avec l'une des deux autres.</t>
  </si>
  <si>
    <t>Magie de guerre</t>
  </si>
  <si>
    <t>À partir du niveau 7, lorsque vous utilisez votre action pour lancer un sort mineur, vous pouvez effectuer une attaque avec une arme en tant qu'action bonus.</t>
  </si>
  <si>
    <t>Frappe occulte</t>
  </si>
  <si>
    <t>Au niveau 10, vous apprenez comment passer la résistance à vos sorts d'une créature, grâce à votre attaque avec une arme. Lorsque vous touchez une créature avec une attaque d'arme, cette créature a un désavantage au prochain jet de sauvegarde contre un sort que vous lancez avant la fin de votre prochain tour.</t>
  </si>
  <si>
    <t>Charge arcanique</t>
  </si>
  <si>
    <t>Au niveau 15, vous gagnez la capacité de vous téléporter jusqu'à 9 mètres dans un espace inoccupé que vous pouvez voir, lorsque vous utilisez votre Sursaut. Vous pouvez vous téléporter avant ou après l'action supplémentaire.</t>
  </si>
  <si>
    <t>Magie de guerre améliorée</t>
  </si>
  <si>
    <t>À partir du niveau 18, lorsque vous utilisez votre action pour lancer un sort, vous pouvez effectuez une attaque avec une arme en tant qu'action bonus.</t>
  </si>
  <si>
    <t>Récupération arcanique</t>
  </si>
  <si>
    <t>Vous avez appris à regagner une partie de votre énergie magique par l'étude de votre grimoire. Une fois par jour, lorsque vous terminez un repos court, vous pouvez choisir des emplacements de sorts dépensés à récupérer. Les emplacements de sorts peuvent avoir un niveau combiné égal ou inférieur à la moitié de votre niveau de magicien (arrondi au supérieur), et aucun de ces emplacements ne peut être de niveau 6 ou supérieur.
Par exemple, si vous êtes un magicien de niveau 4, vous pouvez récupérer jusqu'à l'équivalent de deux niveaux d'emplacements de sorts. Vous pouvez récupérer soit un emplacement de sort de niveau 2 ou deux emplacements de sorts de niveau 1.</t>
  </si>
  <si>
    <t>Maîtrise des sorts</t>
  </si>
  <si>
    <t>Au niveau 18, vous avez atteint une telle maîtrise sur certains sorts que vous pouvez les lancer à volonté. Choisissez un sort de magicien de niveau 1 et un sort de magicien de niveau 2 de votre grimoire. Vous pouvez lancer ces sorts à leur niveau le plus bas sans dépenser un emplacement de sort lorsque vous les avez préparés. Si vous voulez lancer l'un de ses sorts à un niveau supérieur, vous devez dépenser un emplacement de sort, de manière normale. En passant 8 heures à étudier, vous pouvez échanger l'un ou les deux sorts que vous avez choisis par d'autres sorts de même niveau.</t>
  </si>
  <si>
    <t>Sorts de prédilection</t>
  </si>
  <si>
    <t>Au niveau 20, vous gagnez la maîtrise de deux sorts puissants et pouvez les lancer avec peu d'effort. Choisissez deux sorts de magicien de niveau 3 de votre grimoire qui seront vos sorts de prédilection. Ces sorts sont toujours préparés, ils ne comptent pas dans le nombre de sorts que vous avez préparé, et vous pouvez lancer chacun d'eux une fois au niveau 3 sans dépenser un emplacement de sort. Une fois un sort lancé de cette manière, vous devez terminer un repos court ou long pour pouvoir le lancer de nouveau. Si vous voulez lancer un de ces sorts à un niveau supérieur, vous devez dépenser un emplacement de sort, de manière normale.</t>
  </si>
  <si>
    <t>Abjurateur érudit</t>
  </si>
  <si>
    <t>Au niveau 2, lorsque vous choisissez cette école, l'or et le temps que vous devez dépenser pour copier un sort d'abjuration dans votre grimoire est divisé par deux.</t>
  </si>
  <si>
    <t>Protection arcanique</t>
  </si>
  <si>
    <t>À partir du niveau 2, vous pouvez tisser la magie autour de vous pour vous protéger. Lorsque vous lancez un sort d'abjuration de niveau 1 ou plus, vous pouvez utiliser simultanément un brin de la magie du sort pour créer un sceau arcanique sur vous-même qui dure jusqu'à ce que vous terminiez un repos long. Le sceau possède des points de vie égaux à deux fois votre niveau de magicien + votre modificateur d'Intelligence. Chaque fois que vous subissez des dégâts, le sceau prend les dommages à votre place. Si ces dommages réduisent le sceau à 0 point de vie, vous prenez les dommages restants.
À 0 point de vie, le sceau ne peut plus absorber les dégâts, mais sa magie persiste. Chaque fois que vous lancez un sort d'abjuration de niveau 1 ou plus, le sceau récupère un nombre de points de vie égal à deux fois le niveau du sort. Une fois que vous créez un sceau, vous ne pouvez pas en créer d'autres jusqu'à ce que vous ayez terminé un repos long.</t>
  </si>
  <si>
    <t>Transmission de protection</t>
  </si>
  <si>
    <t>À partir du niveau 6, quand une créature que vous pouvez voir dans un rayon de 9 mètres autour de vous subit des dégâts, vous pouvez utiliser votre réaction et absorber ses dommages grâce à votre Protection arcanique. Si ces dommages réduisent le sceau à 0 point de vie, la créature protégée prend les dommages restants.</t>
  </si>
  <si>
    <t>Abjuration améliorée</t>
  </si>
  <si>
    <t>À partir du niveau 10, quand vous lancez un sort d'abjuration et que celui-ci vous oblige à faire un jet de caractéristique (comme avec contresort ou dissipation de la magie), vous ajoutez votre bonus de maîtrise au jet de caractéristique.</t>
  </si>
  <si>
    <t>Résistance aux sorts</t>
  </si>
  <si>
    <t>À partir du niveau 14, vous avez l'avantage aux jets de sauvegarde contre les sorts. En outre, vous avez la résistance contre les dégâts des sorts.</t>
  </si>
  <si>
    <t>Devin érudit</t>
  </si>
  <si>
    <t>Au niveau 2, lorsque vous choisissez cette école, l'or et le temps que vous devez dépenser pour copier un sort de divination dans votre grimoire est divisé par deux.</t>
  </si>
  <si>
    <t>Présage</t>
  </si>
  <si>
    <t>À partir du niveau 2, des aperçus du futur commencent à germer dans votre conscience. Lorsque vous terminez un repos long, lancez deux d20 et notez les résultats. Vous pouvez remplacer n'importe quel jet d'attaque, de sauvegarde ou de caractéristique, qu'il soit lancé par vous ou par une créature que vous pouvez voir, par l'un de ces jets anticipés. Vous devez choisir de faire cela avant de lancer le dé, et vous ne pouvez remplacer qu'un seul jet par tour. Chaque jet anticipé ne peut être utilisé qu'une seule fois. Lorsque vous terminez un repos long, vous perdez tous les jets anticipés non-utilisés.</t>
  </si>
  <si>
    <t>Expert en divination</t>
  </si>
  <si>
    <t>À partir du niveau 6, lancer des sorts de divination vous devient si facile que vous ne dépensez qu'une fraction de vos efforts pour cela. Lorsque vous lancez un sort de divination de niveau 2 ou plus, en utilisant un emplacement de sort, vous récupérez un emplacement de sort dépensé. L'emplacement que vous regagnez doit être d'un niveau inférieur au sort que vous venez de lancer et ne peut pas être d'un niveau supérieur à 5.</t>
  </si>
  <si>
    <t>Troisième œil</t>
  </si>
  <si>
    <t>À partir du niveau 10, vous pouvez utiliser votre action pour augmenter vos pouvoirs de perception. Dans ce cas, choisissez l'un des avantages suivants, lequel dure jusqu'à ce que vous soyez incapable d'agir ou que vous preniez un repos, court ou long. Vous ne pouvez pas utiliser de nouveau cette capacité jusqu'à ce que vous terminiez un repos.
Vision dans le noir. Vous gagnez vision dans le noir à 18 mètres.
Vision éthérée. Vous pouvez voir dans le plan éthéré dans un rayon de 18 mètres autour de vous.
Compréhension ultime. Vous pouvez lire toutes les langues.
Voir l'invisible. Vous pouvez voir les créatures et les objets invisibles dans un rayon de 3 mètres autour de vous et dans votre ligne de mire.</t>
  </si>
  <si>
    <t>Présage supérieur</t>
  </si>
  <si>
    <t>À partir du niveau 14, les visions de vos rêves s'intensifient et brossent un tableau plus précis dans votre esprit de ce qui va se passer. Vous lancez 3 dés, au lieu de 2, pour votre capacité de Présage.</t>
  </si>
  <si>
    <t>Enchanteur érudit</t>
  </si>
  <si>
    <t>Au niveau 2, lorsque vous choisissez cette école, l'or et le temps que vous devez dépenser pour copier un sort d'enchantement dans votre grimoire est divisé par deux.</t>
  </si>
  <si>
    <t>Regard hypnotique</t>
  </si>
  <si>
    <t>À partir du niveau 2, vos paroles apaisantes et votre regard envoûtant peuvent captiver votre auditoire. Par une action, vous choisissez une créature que vous pouvez voir située à 1,50 mètre ou moins de vous. Si la cible peut vous voir ou vous entendre, elle doit réussir un jet de sauvegarde de Sagesse contre votre DD de sauvegarde de sorts de magicien, ou vous la charmez jusqu'à la fin de votre prochain tour. La vitesse de la créature charmée est réduite à 0, elle est incapable d'agir, et visiblement étourdie. À chaque tour suivant, vous pouvez utiliser votre action pour maintenir cet effet, prolongeant alors sa durée jusqu'à la fin de votre prochain tour. Cependant, cet effet se termine si vous vous déplacez à plus de 1,50 mètre de la créature, si celle-ci ne peut plus ni vous voir ni vous entendre, ou si elle subit des dégâts. Une fois que l'effet prend fin, ou si la créature réussit son jet de sauvegarde initial contre cet effet, vous ne pouvez plus utiliser cette capacité contre cette créature jusqu'à ce que vous terminiez un repos long.</t>
  </si>
  <si>
    <t>Charme instinctif</t>
  </si>
  <si>
    <t>À partir du niveau 6, quand une créature que vous pouvez voir et située à 9 mètres ou moins de vous réalise un jet d'attaque contre vous, vous pouvez utiliser votre réaction pour dévier l'attaque, à condition qu'une autre créature se trouve à portée de l'attaque. L'attaquant doit réaliser un jet de sauvegarde de Sagesse contre votre DD de sauvegarde de sorts de magicien. En cas d'échec, l'attaquant doit cibler la créature la plus proche de lui, autre que vous ou lui-même. Si plusieurs créatures se trouvent en position de cibles potentielles, l'attaquant choisit celle qu'il cible. En cas de jet de sauvegarde réussit, vous ne pouvez plus utiliser cette capacité contre l'attaquant jusqu'à ce que vous terminiez un repos long. Vous devez choisir d'utiliser cette capacité avant de savoir si l'attaque vous touche ou vous manque. Les créatures ne pouvant être charmées sont immunisées à cet effet.</t>
  </si>
  <si>
    <t>Partage d'enchantement</t>
  </si>
  <si>
    <t>À partir du niveau 10, lorsque vous lancez un sort d'enchantement de niveau 1 ou plus ayant pour cible une seule créature, vous pouvez choisir de cibler avec ce sort une seconde créature.</t>
  </si>
  <si>
    <t>Altération de la mémoire</t>
  </si>
  <si>
    <t>À partir du niveau 14, vous gagnez la capacité d'influencer par magie une créature sans que celle-ci s'en rende compte. Lorsque vous utilisez un sort d'enchantement pour charmer une ou plusieurs créatures, vous pouvez altérer l'entendement de l'une d'entre elles pour qu'elle ignore le fait d'être charmée. De plus, une fois avant l'expiration du sort, vous pouvez utiliser votre action pour faire que la créature choisie oublie une partie du temps durant lequel elle a été charmée. La créature doit réussir un jet de sauvegarde d’Intelligence contre votre DD de sauvegarde de sorts de magicien ou oublier ses souvenirs sur un nombre d'heures passées égal à 1 + votre modificateur de Charisme (minimum 1 heure). Vous pouvez choisir de diminuer cette durée, et ce temps ne peut pas excéder la durée de votre sort d'enchantement.</t>
  </si>
  <si>
    <t>Évocateur érudit</t>
  </si>
  <si>
    <t>Au niveau 2, l'or et le temps que vous devez passer pour copier un sort d'évocation dans votre grimoire sont réduits de moitié.</t>
  </si>
  <si>
    <t>Façonneur de sorts</t>
  </si>
  <si>
    <t>À partir du niveau 2, vous pouvez créer des poches de relative sécurité dans les effets de vos sorts d'évocation. Lorsque vous lancez un sort d'évocation qui affecte d'autres créatures que vous pouvez voir, vous pouvez choisir un nombre d'entre elles égal à 1 + le niveau du sort. Les créatures choisies réussissent automatiquement leur jet de sauvegarde contre le sort, et ne prennent pas de dégâts si elles devraient normalement prendre la moitié des dégâts sur un jet de sauvegarde réussi.</t>
  </si>
  <si>
    <t>Sort mineur puissant</t>
  </si>
  <si>
    <t>À partir du niveau 6, vos sorts mineurs qui provoquent des dégâts affectent même les créatures qui évitent leurs effets. Quand une créature réussit un jet de sauvegarde contre un de vos sorts mineurs, la créature prend la moitié des dégâts du sort (le cas échéant), mais ne souffre pas d'effet supplémentaire du sort.</t>
  </si>
  <si>
    <t>Évocation améliorée</t>
  </si>
  <si>
    <t>À partir du niveau 10, si vous lancez un sort de magicien d’évocation, vous pouvez ajouter votre modificateur d’Intelligence à un (et un seul) jet de dégâts.</t>
  </si>
  <si>
    <t>Surcharge magique</t>
  </si>
  <si>
    <t>À partir du niveau 14, vous pouvez augmenter la puissance de vos sorts les plus simples. Lorsque vous lancez un sort de magicien d'un niveau compris entre 1 et 5 qui inflige des dégâts, vous pouvez infliger le maximum de dégâts avec ce sort. La première fois que vous le faites, vous ne souffrez d'aucun effet indésirable. Si vous utilisez à nouveau cette capacité avant la fin d'un repos long, vous subissez 2d12 dégâts nécrotiques pour chaque niveau du sort, immédiatement après l'avoir lancé. Chaque fois que vous utilisez à nouveau cette capacité avant de terminer un repos long, les dégâts nécrotiques par niveau des sorts augmentent de 1d12. Ces dégâts ignorent la résistance et l'immunité.</t>
  </si>
  <si>
    <t>Illusionniste érudit</t>
  </si>
  <si>
    <t>Au niveau 2, lorsque vous choisissez cette école, l'or et le temps que vous devez dépenser pour copier un sort d'illusion dans votre grimoire est divisé par deux.</t>
  </si>
  <si>
    <t>Illusion mineure améliorée</t>
  </si>
  <si>
    <t>Au niveau 2, vous apprenez le sort mineur illusion mineure. Si vous connaissez déjà ce sort mineur, vous apprenez un autre sort mineur de magicien de votre choix. Le sort mineur ne compte pas dans votre nombre de sorts mineurs connus. Quand vous lancez illusion mineure, vous pouvez créer à la fois un son et une image avec un seul sort.</t>
  </si>
  <si>
    <t>Illusions malléables</t>
  </si>
  <si>
    <t>À partir du niveau 6, lorsque vous lancez un sort d'illusion qui possède une durée de 1 minute ou plus, vous pouvez utiliser votre action pour changer la nature de cette illusion (en respectant les paramètres normaux du sort pour l'illusion), à condition que vous puissiez voir l'illusion.</t>
  </si>
  <si>
    <t>À partir du niveau 10, vous pouvez créer une copie illusoire de vous-même en un instant, comme un réflexe instinctif face à un danger. Quand une créature fait un jet d'attaque contre vous, vous pouvez utiliser votre réaction pour interposer ce double illusoire entre l'attaquant et vous-même. L'attaque vous manque automatiquement, et l'illusion se dissipe. Une fois que vous utilisez cette capacité, vous ne pouvez plus l'utiliser à nouveau jusqu'à ce que vous terminiez un repos court ou long.</t>
  </si>
  <si>
    <t>Réalité illusoire</t>
  </si>
  <si>
    <t>Au niveau 14, vous avez appris le secret pour tisser la magie des ombres dans vos illusions et leur donner une semi-réalité. Lorsque vous lancez un sort d'illusion de niveau 1 ou plus, vous pouvez choisir un objet inanimé non magique qui fait partie de l'illusion et en faire un objet réel. Vous pouvez le faire à votre tour par une action bonus lorsque le sort est en cours. L'objet reste réel pendant 1 minute. Par exemple, vous pouvez créer l'illusion d'un pont au-dessus d'un abîme, puis en faire une réalité assez longtemps pour que vos alliés puissent le traverser. L'objet ne peut pas infliger de dégâts ou nuire directement à quiconque.</t>
  </si>
  <si>
    <t>Invocateur érudit</t>
  </si>
  <si>
    <t>Au niveau 2, lorsque vous choisissez cette école, l'or et le temps que vous devez dépenser pour copier un sort d'invocation dans votre grimoire est divisé par deux.</t>
  </si>
  <si>
    <t>Invocation mineure</t>
  </si>
  <si>
    <t>À partir du niveau 2, vous pouvez utiliser votre action pour invoquer un objet inanimé dans votre main ou au sol dans un espace inoccupé que vous pouvez voir et dans un rayon de 3 mètres autour de vous. Cet objet ne peut être supérieur à 1 mètre de côté et ne peut peser plus de 5 kilos, et sa forme doit être celle d'un objet non magique que vous avez déjà vu. L'objet est visiblement magique, rayonnant une lumière tamisée sur 1,50 mètre. L'objet disparaît après 1 heure, lorsque vous utilisez cette capacité à nouveau, ou s'il prend ou inflige des dommages.</t>
  </si>
  <si>
    <t>Transposition bénigne</t>
  </si>
  <si>
    <t>À partir du niveau 6, vous pouvez utiliser votre action pour vous téléporter jusqu'à 9 mètres dans un espace inoccupé que vous pouvez voir. Vous pouvez également choisir un espace à portée qui est occupé par une créature de taille P ou M. Si cette créature est consentante, vous vous téléportez tous les deux, en échangeant vos places. Une fois que vous avez utilisé cette capacité, vous ne pouvez plus l'utiliser à nouveau jusqu'à ce que vous terminiez un repos long ou que vous lanciez un sort d'invocation de niveau 1 ou supérieur.</t>
  </si>
  <si>
    <t>Invocateur concentré</t>
  </si>
  <si>
    <t>À partir du niveau 10, lorsque vous vous concentrez sur un sort d'invocation, votre concentration ne peut être brisée par le fait de prendre des dégâts.</t>
  </si>
  <si>
    <t>Invocations durables</t>
  </si>
  <si>
    <t>À partir de niveau 14, une créature que vous invoquez ou créez avec un sort d'invocation possède 30 points de vie temporaires.</t>
  </si>
  <si>
    <t>Nécromancien érudit</t>
  </si>
  <si>
    <t>Au niveau 2, lorsque vous choisissez cette école, l'or et le temps que vous devez dépenser pour copier un sort de nécromancie dans votre grimoire est réduit de moitié.</t>
  </si>
  <si>
    <t>Sinistre moisson</t>
  </si>
  <si>
    <t>Au niveau 2, vous gagnez la possibilité de récolter l'énergie de la vie des créatures que vous tuez avec vos sorts. Une fois par tour, quand vous tuez une ou plusieurs créatures avec un sort de niveau 1 ou plus, vous regagnez un nombre de points de vie égal au double du niveau de sort, ou au triple du niveau si le sort appartient à l'école de nécromancie. Cet avantage ne s'applique pas lorsque vous tuez des créatures artificielles ou des morts-vivants.</t>
  </si>
  <si>
    <t>Serviteurs morts-vivants</t>
  </si>
  <si>
    <t>Au niveau 6, vous ajoutez le sort animation des morts à votre grimoire s’il n'y est pas déjà. Quand vous lancez animation des morts, vous pouvez cibler un cadavre ou un tas d'os supplémentaire, créant un autre zombi ou squelette, le cas échéant. Chaque fois que vous créez un mort-vivant en utilisant un sort de nécromancie, il obtient des avantages supplémentaires :
Les points de vie maximums de la créature sont augmentés d'un montant égal à votre niveau de magicien.
La créature ajoute votre bonus de maîtrise à ses jets de dégâts avec une arme.</t>
  </si>
  <si>
    <t>Résistance à la non-vie</t>
  </si>
  <si>
    <t>À partir du niveau 10, vous avez la résistance aux dégâts nécrotiques, et vos points de vie maximums ne peuvent être réduits. Vous avez passé tant de temps face à des morts-vivants que les forces qui les animent vous ont habitué à certains de leurs pires effets.</t>
  </si>
  <si>
    <t>Contrôle des morts-vivants</t>
  </si>
  <si>
    <t>À partir du niveau 14, vous pouvez utiliser la magie pour contrôler des morts-vivants, même ceux créés par d'autres magiciens. En dépensant une action vous pouvez choisir un mort-vivant situé dans un rayon de 18 mètres autour de vous et que vous pouvez voir. Cette créature doit faire un jet de sauvegarde de Charisme contre votre DD de sauvegarde contre vos sorts. Si elle réussit, vous ne pouvez plus utiliser cette capacité de nouveau sur elle. Si elle échoue, elle devient amicale envers vous et obéit à vos ordres jusqu'à ce que vous utilisiez cette capacité de nouveau.
Les morts-vivants intelligents sont plus difficiles à contrôler de cette façon. Si la cible a une Intelligence de 8 ou plus, elle a l'avantage à son jet de sauvegarde. Si elle échoue au jet de sauvegarde et possède une Intelligence de 12 ou plus, elle peut répéter son jet de sauvegarde à la fin de chaque heure, jusqu'à ce qu'elle réussisse et se libère.</t>
  </si>
  <si>
    <t>Transmutateur érudit</t>
  </si>
  <si>
    <t>Au niveau 2, lorsque vous choisissez cette école, l'or et le temps que vous devez dépenser pour copier un sort de transmutation dans votre grimoire est réduit de moitié.</t>
  </si>
  <si>
    <t>Alchimie mineure</t>
  </si>
  <si>
    <t>À partir du niveau 2 vous pouvez altérer temporairement les propriétés physiques d'un objet non-magique, transformant sa substance en une autre. Vous exécutez un processus alchimique spécial sur un objet composé entièrement de bois, de pierre (non-précieuse), de fer, de cuivre ou d'argent, pour le transmuter en un autre de ces matériaux. Pour chaque tranche de 10 minutes passée à exécuter le processus, vous pouvez transformer 30 centimètres cubes de matériaux. Au bout de 1 heure, ou si vous perdez votre concentration (de la même manière que si vous vous concentriez sur un sort), la matière retrouve sa substance originale.</t>
  </si>
  <si>
    <t>Pierre du transmutateur</t>
  </si>
  <si>
    <t>À partir du niveau 6, vous pouvez passer 8 heures pour créer une pierre du transmutateur capable de contenir de la magie de transmutation. Vous pouvez utiliser la pierre vous-même ou la donner à une autre créature. Une créature gagne un avantage de votre choix tant que la pierre est en sa possession. Quand vous créez la pierre, choisissez son avantage parmi les options suivantes :
Augmentation de la vitesse de 3 mètres quand la créature n'est pas encombrée
Maîtrise des jets de sauvegarde de Constitution
Résistance à l'acide, au feu, à la foudre, au froid ou au tonnerre (à choisir en même temps que l'avantage)
Vision dans le noir à une distance de 18 mètres, telle que décrit dans le chapitre Partir à l'aventure
Chaque fois que vous lancez un sort de transmutation de niveau 1 ou plus, vous pouvez changer l'effet de votre pierre si celle-ci est en votre possession. Si vous créez une nouvelle pierre du transmutateur, celle précédemment créée cesse de fonctionner.</t>
  </si>
  <si>
    <t>Métamorphe</t>
  </si>
  <si>
    <t>Au niveau 10, vous ajoutez le sort métamorphose dans votre livre de sorts, s'il n'y est pas déjà inscrit. Vous pouvez lancez métamorphose sans dépenser d'emplacement de sort. En lançant le sort de cette manière, vous ne pouvez que vous cibler vous-même et vous transformer en une bête dont le facteur puissance est de 1 ou moins. Après avoir lanc&amp;eacute métamorphose de cette manière, vous ne pouvez plus le faire jusqu'à ce que vous terminiez un repos court ou long, bien que vous puissiez le lancer normalement en utilisant un emplacement de sort disponible.</t>
  </si>
  <si>
    <t>Maître transmutateur</t>
  </si>
  <si>
    <t>À partir du niveau 14, vous pouvez utiliser votre action pour consumer la réserve de magie de transmutation stockée dans votre pierre du transmutateur en une seule explosion d'énergie. En agissant ainsi, choisissez l'un des effets suivants. Votre pierre du transmutateur est alors détruite et ne peut être recréée avant que vous ne terminiez un repos long.
Panacée. Vous mettez fin à toutes les maladies, malédictions et poisons qui affectent une créature en contact avec la pierre du transmutateur. La créature regagne également tous ses points de vie.
Rajeunissement. Vous touchez avec la pierre du transmutateur une créature consentante, et l'âge apparent de cette créature est réduit de 3d10 années, jusqu'à un minimum de 13 ans d'âge. Cet effet n'augmente pas l’espérance de vie de la créature.
Retour à la vie. Vous lancez le sort rappel à la vie sur une créature que vous touchez au moyen de la pierre du transmutateur, sans avoir besoin d'utiliser un emplacement de sort ou d'avoir le sort écrit dans votre livre de sorts.
Transformation majeure. Vous pouvez transmuter un objet non-magique (pas plus grand qu'un cube de 1,50 mètre d'arêtes) en un autre objet non-magique de taille similaire et de masse égale ou inférieure. Vous devez passer 10 minutes à manipuler l'objet pour pouvoir le transformer.</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</si>
  <si>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
Vous pouvez utiliser la Dextérité à la place de la Force aux jets d'attaque et de dégâts de vos attaques à mains nues et avec des armes de moine.
Vous pouvez lancer un d4 à la place des dégâts normaux de votre attaque à mains nues ou de vos armes de moine. Ce dé change lorsque vous gagnez des niveaux de moine, comme indiqué dans la colonne Arts martiaux de la table ci-dessus.
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
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</si>
  <si>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
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
DD du jet de sauvegarde du ki = 8 + votre bonus de maîtrise + votre modificateur de Sagesse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</si>
  <si>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</si>
  <si>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Au niveau 7, votre agilité instinctive vous permet d'esquiver certains effets de zone, comme le souffle d'un dragon bleu ou le sort boule de feu. Lorsque vous êtes sujet à un effet qui vous autorise un jet de sauvegarde de Dextérité pour ne subir que la moitié de ses dégâts initiaux, vous ne subissez aucun dégât si vous réussissez votre jet de sauvegarde, et seulement la moitié des dégâts si vous l'échouez.</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</si>
  <si>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</si>
  <si>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
Elle doit réussir un jet de sauvegarde de Dextérité sous peine de tomber à terre.
Elle doit réussir un jet de sauvegarde de Force. En cas d'échec, vous pouvez la repousser de 4,50 mètres.
Elle ne peut utiliser de réaction jusqu'à la fin de votre prochain tour.</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</si>
  <si>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</si>
  <si>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Dès que vous choisissez cette voie au niveau 3, vous pouvez utiliser votre ki pour reproduire les effets de certains sorts. Par une action, vous pouvez dépenser 2 points ki pour lancer ténèbres, vision dans le noir, passage sans trace ou silence, sans avoir besoin de fournir les composantes matérielles. De plus, vous gagnez le sort mineur illusion mineure si vous ne le connaissez pas déjà.</t>
  </si>
  <si>
    <t>Lorsque vous choisissez cette tradition au niveau 3, vous apprenez des techniques magiques qui exploitent le pouvoir des quatre éléments. Une technique requiert que vous dépensiez des points ki à chaque fois que vous l'utilisez.
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
Lancement de sorts élémentaires.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mains brûlantes. Le niveau du sort augmente de 1 pour chaque point ki supplémentaire que vous dépensez. Par exemple, si vous êtes un moine de niveau 5 et utilisez le Toucher des cendres ravageuses pour lancer mains brûlantes,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
Niveaux de moine	Maximum de points ki par sort
5-8	                3
9-12	            4
13-16	            5
17-20	            6</t>
  </si>
  <si>
    <t>Chevauchée du vent</t>
  </si>
  <si>
    <t>(niveau 11 requis). Vous pouvez dépenser 4 points ki pour lancer le sort vol, en vous ciblant.</t>
  </si>
  <si>
    <t>Crochets du serpent de feu</t>
  </si>
  <si>
    <t>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</si>
  <si>
    <t>Défense de la montagne éternelle</t>
  </si>
  <si>
    <t>Façonnage de la rivière</t>
  </si>
  <si>
    <t>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</si>
  <si>
    <t>(niveau 17 requis). Vous pouvez dépenser 5 points ki pour lancer sur vous-même le sort peau de pierre.</t>
  </si>
  <si>
    <t>Flammes du phénix</t>
  </si>
  <si>
    <t>(niveau 11 requis). Vous pouvez dépenser 4 points ki pour lancer le sort boule de feu.</t>
  </si>
  <si>
    <t>Forme brumeuse</t>
  </si>
  <si>
    <t>(niveau 11 requis). Vous pouvez dépenser 4 points ki pour lancer sur vous-même le sort forme gazeuse.</t>
  </si>
  <si>
    <t>Fouet d'eau</t>
  </si>
  <si>
    <t>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</si>
  <si>
    <t>Frappe incandescente écrasante</t>
  </si>
  <si>
    <t>Vous pouvez dépenser 2 points ki pour lancer le sort mains brûlantes.</t>
  </si>
  <si>
    <t>Gong du sommet</t>
  </si>
  <si>
    <t>(niveau 6 requis). Vous pouvez dépenser 3 points ki pour lancer le sort fracassement.</t>
  </si>
  <si>
    <t>Lien élémentaire</t>
  </si>
  <si>
    <t>Vous pouvez utiliser votre action pour contrôler brièvement les forces élémentaires dans un rayon de 9 mètres autour de vous, provoquant l'un des effets suivants de votre choix :
Créer un effet sensoriel inoffensif et instantané en relation avec l'air, la terre, le feu ou l'eau, comme une pluie d'étincelles, une bouffée d'air, un jet de brume éparse ou un léger frémissement de pierres.
Allumer ou éteindre instantanément une bougie, une torche ou un petit feu de camp.
Refroidir ou réchauffer jusqu'à 500 g de matière non-vivante pour 1 heure.
Modeler le feu, la terre, l'eau ou la brume (pour un volume maximal équivalent à un cube de 30 cm d'arêtes) pour lui donner une forme grossière de votre choix pendant 1 minute.</t>
  </si>
  <si>
    <t>Poigne du vent du nord</t>
  </si>
  <si>
    <t>(niveau 6 requis). Vous pouvez dépenser 3 points ki pour lancer immobilisation de personne.</t>
  </si>
  <si>
    <t>Poing de l'air</t>
  </si>
  <si>
    <t>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</si>
  <si>
    <t>Poing des quatre tonnerres</t>
  </si>
  <si>
    <t>Vous pouvez dépenser 2 points ki pour lancer le sort onde de choc.</t>
  </si>
  <si>
    <t>Rivière de la flamme affamée</t>
  </si>
  <si>
    <t>(niveau 17 requis). Vous pouvez dépenser 5 points ki pour lancer le sort mur de feu.</t>
  </si>
  <si>
    <t>Ruée des esprits du vent</t>
  </si>
  <si>
    <t>Vous pouvez dépenser 2 points ki pour lancer le sort bourrasque.</t>
  </si>
  <si>
    <t>Souffle de l'hiver</t>
  </si>
  <si>
    <t>(niveau 17 requis). Vous pouvez dépenser 6 points ki pour lancer cône de froid.</t>
  </si>
  <si>
    <t>Vague de terre grondante</t>
  </si>
  <si>
    <t>(niveau 17 requis). Vous pouvez dépenser 6 points ki pour lancer le sort mur de pierre.</t>
  </si>
  <si>
    <t>Sens divin</t>
  </si>
  <si>
    <t>Une forte présence maléfique éveille vos sens, comme une odeur nocive, et un bien puissant fait résonner dans vos oreilles une musique céleste. Par une action, vous pouvez éveiller votre conscience pour détecter de telles forces. Jusqu'à la fin de votre prochain tour, vous connaissez l'emplacement de toute créature céleste, fiélon ou mort-vivante dans un rayon de 18 mètres autour de vous, et qui ne se trouve pas derrière un abri total. Vous connaissez le type (céleste, fiélon ou mort-vivant) et le nombre de tous les êtres dont vous sentez la présence, mais pas leur identité (le vampire comte Strahd von Zarovich, par exemple). Dans ce même rayon, vous détectez également la présence d'un lieu ou d'un objet qui a été consacré ou profané, comme avec le sort sanctification.
Vous pouvez utiliser cette capacité un nombre de fois égal à 1 + votre modificateur de Charisme. Lorsque vous terminez un repos long, vous récupérez toutes les utilisations dépensées.</t>
  </si>
  <si>
    <t>Imposition des mains</t>
  </si>
  <si>
    <t>Votre toucher béni peut guérir les blessures. Vous possédez une réserve de points de vie à soigner qui se récupère après chaque repos long. Avec cette réserve, vous pouvez restaurer un nombre total de points de vie égal à votre niveau de paladin multiplié par 5. Au prix d'une action, vous pouvez toucher une créature et puiser dans votre réserve pour soigner autant de points de vie que vous le désirez, sans dépasser le nombre de points dans votre réserve bien entendu.
Vous pouvez également dépenser 5 points de vie de votre réserve pour guérir la cible d'une maladie ou neutraliser un poison qui l'affecte. Vous pouvez soigner plusieurs maladies et neutraliser plusieurs poisons avec une seule imposition des mains en dépensant les points de vie séparément pour chacun d'entre eux. L'imposition des mains n'a aucun effet sur les morts-vivants ou les créatures artificielles.</t>
  </si>
  <si>
    <t>Châtiment divin</t>
  </si>
  <si>
    <t>À partir du niveau 2, quand vous touchez une créature avec une arme de corps à corps, vous pouvez utiliser n'importe quel emplacement de sort (de paladin ou autre) pour châtier cette créature et lui infliger des dégâts radiants supplémentaires. Les dégâts supplémentaires infligés sont de 2d8 pour un emplacement de sort de niveau 1, plus 1d8 supplémentaire pour chaque niveau de sort supérieur à 1, jusqu'à un maximum de 5d8. Si la créature est un mort-vivant ou un fiélon, les dégâts augmentent de 1d8, jusqu'à un maximum de 6d8.</t>
  </si>
  <si>
    <t>Santé divine</t>
  </si>
  <si>
    <t>À partir du niveau 3, la magie divine qui coule en vous vous immunise contre les maladies.</t>
  </si>
  <si>
    <t>Au niveau 3, vous prêtez un serment qui vous lie en tant que paladin pour l'éternité. Jusque-là, vous étiez dans une phase préparatoire, engagé dans la voie, mais sans avoir encore prêté serment. Maintenant, vous devez choisir entre le serment de dévotion, le serment des Anciens ou le serment de vengeance, qui sont tous détaillés à la fin de la description de la classe. Votre choix vous accorde des capacités au niveau 3, puis aux niveaux 7, 15 et 20. Ces capacités comprennent des sorts de serment et la capacité de Canalisation d'énergie divine.</t>
  </si>
  <si>
    <t>Sorts de serment</t>
  </si>
  <si>
    <t>Chaque serment est associé à une liste de sorts qui lui est propre. Vous accèderez à ces sorts au niveau spécifié dans la description du serment. Une fois que vous avez accès à un sort de serment, celui-ci sera toujours considéré comme préparé mais ne compte pas dans le nombre de sorts que vous préparez chaque jour. Si vous gagnez un sort de serment qui n'est pas dans la liste des sorts de paladin, ce sort sera tout de même considéré comme étant un sort de paladin pour vous.</t>
  </si>
  <si>
    <t>Canalisation d'énergie divine</t>
  </si>
  <si>
    <t>Votre serment vous permet de canaliser de l'énergie divine qui alimente des effets magiques. Chaque Canalisation d'énergie divine proposée par votre serment en détaille les options d'utilisation. Quand vous utilisez votre Canalisation d'énergie divine, vous choisissez quelle option vous voulez utiliser. Un repos court ou long est nécessaire pour pouvoir utiliser une Canalisation d'énergie divine de nouveau. Certains effets de Canalisation d'énergie divine nécessitent des jets de sauvegarde. Quand vous utilisez ce type d'effet, le DD est égal au DD pour résister à vos sorts.</t>
  </si>
  <si>
    <t>Aura de protection</t>
  </si>
  <si>
    <t>À partir du niveau 6, si vous ou une créature alliée située à 3 mètres ou moins de vous doit effectuer un jet de sauvegarde, la créature gagne un bonus égal à votre modificateur de Charisme (minimum +1). Vous devez être conscient pour accorder ce bonus. Au niveau 18, le rayon de l'aura passe à 9 mètres.</t>
  </si>
  <si>
    <t>Aura de courage</t>
  </si>
  <si>
    <t>À partir du niveau 10, vous et toutes créatures amicales situées à 3 mètres ou moins de vous ne pouvez être effrayés tant que vous êtes conscient. Au niveau 18, le rayon de l'aura passe à 9 mètres.</t>
  </si>
  <si>
    <t>Châtiment divin amélioré</t>
  </si>
  <si>
    <t xml:space="preserve">Au niveau 11, vous êtes tellement imprégné de vertus que toutes vos armes de corps à corps portent la puissance divine en elles. Lorsque vous touchez avec une arme de corps à corps, la créature cible subit 1d8 dégâts radiants supplémentaires. </t>
  </si>
  <si>
    <t>Contact purifiant</t>
  </si>
  <si>
    <t>À partir du niveau 14, vous pouvez utiliser votre action pour mettre fin à un sort sur vous ou une créature consentante que vous touchez. Vous pouvez utiliser cette capacité un nombre de fois égal à votre modificateur de Charisme (minimum 1) entre deux repos long.</t>
  </si>
  <si>
    <t>Principes de Dévotion</t>
  </si>
  <si>
    <t>Bien que les mots exacts et les restrictions imposées par le serment de dévotion varient, les paladins de ce serment partagent ces préceptes.
Honnêteté. Ne ment pas et ne triche pas. Que ta parole soit ta promesse.
Courage. N'aies jamais peur d'agir, même si la prudence est sage.
Compassion. Aide les autres, protège les faibles et punit ceux qui les menacent. Fais preuve de miséricorde envers tes ennemis, tempérée avec sagesse.
Honneur. Traite les autres avec équité et fais de tes actes honorables un exemple pour eux. Fais le bien autant que possible, sans causer de préjudice.
Devoir. Soit responsable de tes actes et de leurs conséquences ; protège ceux qui te sont confiés et obéis à ceux qui ont une autorité sur toi.</t>
  </si>
  <si>
    <t>Vous gagnez des sorts de serment aux niveaux de paladin indiqués.
Niveau de paladin	 Sorts
3	                 protection contre le mal et le bien, sanctuaire
5	                 restauration partielle, zone de vérité
9	                 dissipation de la magie, lueur d'espoir
13	                 gardien de la foi, liberté de mouvement
17	                 colonne de flamme, communion</t>
  </si>
  <si>
    <t>Quand vous prêtez votre serment au niveau 3, vous gagnez les deux options suivantes de Canalisation d'énergie divine.
Arme sacrée. Au prix d'une action, vous pouvez imprégner l'arme que vous tenez avec d'énergie positive, utilisant votre Canalisation d'énergie divine. Durant 1 minute, vous ajoutez votre modificateur de Charisme à vos jets d'attaque faits avec cette arme (minimum +1) et l'arme émet une lumière vive dans un rayon de 6 mètres et une lumière faible sur 6 mètres supplémentaires. Si l'arme n'est pas déjà magique, elle le devient pendant la durée du sort. Vous pouvez arrêter cet effet lors de votre tour dans le cadre d'une autre action. Si vous ne tenez plus ou ne portez plus cette arme, ou si vous êtes inconscient, l'effet prend fin.
Renvoi des impies. Au prix d'une action, vous présentez votre symbole sacré en psalmodiant une prière contre les morts-vivants ou les fiélons, utilisant votre Canalisation d'énergie divine. Chaque mort-vivant ou fiélon à 9 mètres autour de vous qui peuvent vous entendre ou vous voir, doivent faire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t>
  </si>
  <si>
    <t>Aura de dévotion</t>
  </si>
  <si>
    <t>À partir du niveau 7, vous et toutes créatures amicales à 3 mètres ou moins de vous ne peuvent être charmées tant que vous êtes conscient. Au niveau 18, le rayon de l'aura passe à 9 mètres.</t>
  </si>
  <si>
    <t>Pureté de l'esprit</t>
  </si>
  <si>
    <t>À partir du niveau 15, vous êtes en permanence sous l'effet d'un sort de protection contre le mal et le bien.</t>
  </si>
  <si>
    <t>Halo sacré</t>
  </si>
  <si>
    <t>Au niveau 20, au prix d'une action, vous pouvez diffuser une lumière brillante semblable à celle du soleil. Pendant 1 minute, une lumière vive s'échappe de vous sur un rayon de 9 mètres, et une lumière faible sur 9 mètres supplémentaires.
Quand une créature ennemie commence son tour dans la zone de lumière vive, elle subit 10 points de dégâts radiants. De plus, pendant cette durée, vous avez un avantage à vos jets de sauvegarde contre les sorts que les fiélons ou les morts-vivants jettent. Une fois cette capacité utilisée, vous devez terminer un repos long pour pouvoir l'utiliser de nouveau.</t>
  </si>
  <si>
    <t>Principes des Anciens</t>
  </si>
  <si>
    <t>Les préceptes du serment des Anciens ont été préservés pendant des siècles innombrables. Ce serment met l'accent sur les principes du bien au-dessus des questions de loi ou de chaos. Ses quatre principes centraux sont simples.
Ravive la lumière. Par tes actes de miséricorde, de bonté et de pardon, ravive une lumière d'espoir dans le monde et repousse le désespoir.
Protège la lumière. Là où dans le monde il y a le bien, de la beauté, de l'amour et du rire, lève toi contre la perversité qui veut l'emporter. Là où la vie fleurit, lève toi contre les forces qui veulent la rendre stérile.
Préserve ta propre lumière. Jouis des chansons et des rires, de la beauté et de l'art. Si tu permets que la lumière meurt dans ton propre cœur, tu ne pourras pas la sauver dans le monde.
Devient lumière. Sois un phare glorieux pour tous ceux qui vivent dans le désespoir. Que la lumière de ta joie et de ton courage brille dans tous tes actes.</t>
  </si>
  <si>
    <t>Vous gagnez des sorts de serment aux niveaux de paladin indiqués.
Niveau de paladin	Sorts
3	                communication avec les animaux, frappe piégeante
5	                pas brumeux, rayon de lune
9	                croissance végétale, protection contre une énergie
13	                peau de pierre, tempête de grêle
17	                communion avec la nature, passage par les arbres</t>
  </si>
  <si>
    <t>Quand vous prêtez votre serment au niveau 3, vous gagnez les deux options suivantes de Canalisation d'énergie divine.
Colère de la nature. Vous pouvez utiliser votre Canalisation d'énergie divine pour invoquer les forces primaires afin de piéger un ennemi. Au prix d'une action, vous faites surgir des vignes spectrales qui entravent une créature à 3 mètres ou moins de vous et que vous pouvez voir. La créature doit réussir un jet de sauvegarde de Force ou de Dextérité (son choix) ou être Entravée. Bien que retenue par les vignes, la créature répète son jet de sauvegarde à la fin de chacun de ses tours. En cas de réussite, elle se libère et les vignes disparaissent.
Renvoi des infidèles. Vous pouvez utiliser votre Canalisation d'énergie divine pour prononcer des mots anciens qui sont douloureux d'entendre pour les créatures féériques et les fiélons. Au prix d'une action, vous présentez votre symbole sacré et chaque fée ou fiélon à 9 mètres ou moins qui peut vous entendre doit faire un jet de sauvegarde de Sagesse. Sur un échec,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Si la vraie forme de la créature est cachée par une illusion, un changement de forme, ou un autre effet, cette forme se révèle alors qu'elle est renvoyée.</t>
  </si>
  <si>
    <t>Aura de résistance</t>
  </si>
  <si>
    <t>À partir du niveau 7, la magie ancienne est si lourdement sur vous qu'elle forme une protection. Vous et vos alliés dans un rayon de 3 mètres autour de vous gagnez la résistance aux dégâts causés par les sorts. Au niveau 18, le rayon de l'aura passe à 9 mètres.</t>
  </si>
  <si>
    <t>Sentinelle immortelle</t>
  </si>
  <si>
    <t>À partir du niveau 15, lorsque vous êtes réduit à 0 point de vie et que vous n'êtes pas tué sur le coup, vous pouvez choisir de passer à 1 point de vie. Une fois cette capacité utilisée, vous devez terminer un repos long pour pouvoir l'utiliser de nouveau. De plus, vous ne souffrez d'aucun inconvénient dû à la vieillesse, et ne pouvez pas vieillir magiquement.</t>
  </si>
  <si>
    <t>Champion des Anciens</t>
  </si>
  <si>
    <t>Au niveau 20, vous pouvez prendre la forme d'une ancienne force de la nature, revêtant l'aspect que vous souhaitez. Par exemple, votre peau peut devenir verte ou prendre une texture semblable à l'écorce, vos cheveux pourrait devenir feuillu ou semblable à de la mousse, ou vous pourriez avoir des bois qui poussent ou une crinière de lion.
Au prix d'une action, vous subissez une transformation. Pendant 1 minute, vous obtenez les avantages suivants :
Au début de chacun de vos tours, vous regagnez 10 points de vie.
Chaque fois que vous lancez un sort de paladin qui possède un temps d'incantation de 1 action, vous pouvez lancer le sort en action bonus à la place.
Les créatures ennemies dans un rayon de 3 mètres autour de vous ont un désavantage aux jets de sauvegarde contre vos sorts de paladin et vos options de Canalisation d'énergie divine.
Une fois cette capacité utilisée, vous devez terminer un repos long pour pouvoir l'utiliser de nouveau.</t>
  </si>
  <si>
    <t>Principes de Vengeance</t>
  </si>
  <si>
    <t>Chaque serment de vengeance est différent, mais tous ont en commun de punir les fautifs à tout prix et par tous les moyens nécessaires. Toutefois, bien que les serments soient presque toujours fait pour punir les méchants, les paladins qui font le serment de vengeance sont eux-mêmes généralement d'alignement neutre ou loyal neutre. Les principes fondamentaux des principes sont brutalement simples.
Combats le plus grand Mal. Face au choix de combattre mes ennemis jurés ou de lutter contre un mal mineur, je choisis le plus grand mal.
Pas de pitié pour les mauvais. Des adversaires ordinaires peuvent gagner ma miséricorde, mais pas mes ennemis jurés.
Tous les moyens sont bons. Mes états d'âme ne doivent pas intervenir dans mon intention d'exterminer mes ennemis.
Compensation. Si mes ennemis causent la ruine dans le monde, c'est parce que je n'ai pas réussi à les arrêter. Je dois aider ceux qui ont souffert de leurs méfaits.
Sorts de serment
Vous gagnez des sorts de serment aux niveaux de paladin indiqués.
Niveau de paladin	Sorts
3	                fléau, marque du chasseur
5	                immobilisation de personne, pas brumeux
9	                hâte, protection contre une énergie
13	                bannissement, porte dimensionnelle
17	                immobilisation de monstre, scrutation</t>
  </si>
  <si>
    <t>Quand vous prêtez votre serment au niveau 3, vous gagnez les deux options suivantes de Canalisation d'énergie divine.
Conspuer l'ennemi. Au prix d'une action, vous présentez votre symbole sacré tout en psalmodiant une prière de dénonciation, utilisant votre Canalisation d'énergie divine. Choisissez une créature à 9 mètres ou moins de vous et que vous pouvez voir. Cette créature doit faire un jet de sauvegarde de Sagesse, à moins qu'elle ne soit immunisée contre la condition effrayé. Un fiélon ou un mort-vivant a un désavantage à son jet de sauvegarde. Si la créature rate son jet de sauvegarde, elle est effrayée pendant 1 minute ou jusqu'à ce qu'elle prenne des dégâts. La vitesse de déplacement d'une créature effrayée est de 0 et elle ne peut profiter d'aucun bonus de vitesse. Si la créature réussit son jet de sauvegarde, sa vitesse est divisée par deux pendant 1 minute ou jusqu'à ce qu'elle prenne des dégâts.
Vœu d'inimité. Au prix d'une action bonus, vous pouvez prononcer un vœu d'inimitié contre une créature à 3 mètres ou moins de vous en utilisant votre Canalisation d'énergie divine. Vous bénéficiez alors d'un avantage aux jets d'attaque contre cette créature pendant 1 minute ou jusqu'à ce qu'elle tombe à 0 point de vie ou qu'elle tombe inconsciente.</t>
  </si>
  <si>
    <t>Vengeur implacable</t>
  </si>
  <si>
    <t>À partir du niveau 7, votre concentration surnaturelle vous permet de contrer la retraite d'un adversaire. Lorsque vous touchez une créature lors d'une attaque d'opportunité, vous pouvez vous déplacer de la moitié de votre vitesse de déplacement dès l'attaque terminée et dans cette même réaction. Ce déplacement ne provoque pas d'attaque d'opportunité.</t>
  </si>
  <si>
    <t>Âme vengeresse</t>
  </si>
  <si>
    <t>À partir du niveau 15, l'autorité avec laquelle vous prononcez votre vœu d'inimitié vous donne plus de puissance contre votre adversaire. Quand la créature sous l'effet de votre vœu d'inimitié réalise une attaque, vous pouvez utiliser une réaction pour faire une attaque contre cette créature si elle est à portée.</t>
  </si>
  <si>
    <t>Ange de la vengeance</t>
  </si>
  <si>
    <t>Au niveau 20, vous pouvez vous transformer en ange de la vengeance. En utilisant une action, vous subissez une transformation qui dure 1 heure. Pendant cette durée, vous gagnez les avantages suivants :
Des ailes poussent dans votre dos et vous confère une vitesse de vol de 18 mètres.
Vous émettez une aura de menace de 9 mètres de rayon. La première fois qu'une créature rentre dans votre aura ou si elle y commence son tour pendant une bataille, la créature doit réussir un jet de sauvegarde de Sagesse ou être effrayée pendant 1 minute ou jusqu'à ce que la créature prenne des dégâts. Les jets d'attaque contre la créature effrayée bénéficient d'un avantage.
Une fois cette capacité utilisée, vous devez terminer un repos long pour pouvoir l'utiliser de nouveau.</t>
  </si>
  <si>
    <t>Ennemi juré</t>
  </si>
  <si>
    <t>À partir du niveau 1, vous avez des compétences significatives pour pister, chasser et même communiquer avec un certain type d'ennemi. Choisissez un type d'ennemi juré : aberrations, bêtes, célestes, créatures artificielles, créatures monstrueuses, dragons, élémentaires, fées, fiélons, géants, morts-vivants, plantes ou vases. Sinon, vous pouvez sélectionner deux races d’humanoïde (comme gnolls et orques) comme ennemis favoris. Vous avez un avantage aux jets de Sagesse (Survie) pour pister vos ennemis favoris, ainsi qu'aux jets d’Intelligence permettant de se rappeler des informations sur ceux-ci. Quand vous obtenez cette capacité, vous apprenez également une langue de votre choix qui est parlée par vos ennemis favoris, s’ils en parlent une.
Vous choisissez un ennemi juré supplémentaire, ainsi qu'un langage associé, aux niveaux 6 et 14. À ces niveaux, vos choix devraient refléter les types de monstres que vous avez rencontrés au cours de vos aventures.</t>
  </si>
  <si>
    <t>Explorateur-né</t>
  </si>
  <si>
    <t>Vous êtes particulièrement familier avec un type de milieu naturel et êtes apte à voyager et à survivre dans ces régions. Choisissez un type de terrain favori : arctique, désert, forêt, littoral, marais, montagne, plaine ou Outreterre. Lorsque vous faites un jet d’Intelligence ou de Sagesse lié à votre terrain favori, votre bonus de maîtrise est doublé si vous utilisez une compétence que vous maîtrisez.
Lors d'un voyage d'une heure ou plus dans votre terrain favori, vous obtenez les avantages suivants :
Le terrain difficile ne ralentit pas le voyage de votre groupe.
Votre groupe ne peut pas se perdre, sauf par des moyens magiques.
Même lorsque vous êtes engagé dans une autre activité tout en voyageant (comme la recherche de nourriture, la navigation ou le pistage), vous restez alerte face au danger.
Si vous voyagez seul, vous pouvez vous déplacer furtivement à un rythme normal.
Lorsque vous cherchez de la nourriture, vous en trouvez deux fois plus que normalement.
Lorsque vous pistez d'autres créatures, vous découvrez aussi leur nombre exact, leurs tailles, et depuis combien de temps elles sont passées dans la zone.
Vous choisissez un terrain favori supplémentaire aux niveaux 6 et 10.</t>
  </si>
  <si>
    <t>Sens primitifs</t>
  </si>
  <si>
    <t>À partir du niveau 3, vous pouvez utiliser votre action et dépenser un emplacement de sort de rôdeur afin de concentrer votre attention sur la région autour de vous. Pour 1 minute par niveau d'emplacement de sort que vous dépensez, vous pouvez sentir si les types de créatures suivants sont présents à 1,5 kilomètre de vous (ou jusqu'à 9 kilomètres si vous êtes dans votre terrain favori) : aberrations, célestes, dragons, élémentaires, fées, démons et morts-vivants. Cette capacité ne révèle pas l'emplacement ou le nombre des créatures.</t>
  </si>
  <si>
    <t>À partir du niveau 5, vous pouvez attaquer deux fois, au lieu d'une seule, chaque fois que vous réalisez l’action Attaquer durant votre tour.</t>
  </si>
  <si>
    <t>À partir du niveau 8, se déplacer à travers un terrain difficile non magique ne vous coûte pas de mouvement supplémentaire. Vous pouvez également passer à travers des plantes non magiques sans être ralenti et sans subir de dégâts par leurs épines, ou un risque semblable. En outre, vous avez un avantage aux jets de sauvegarde contre les plantes qui sont créés ou manipulés par magie afin d’entraver les mouvements, comme celles créées par le sort enchevêtrement.</t>
  </si>
  <si>
    <t>Camouflage naturel</t>
  </si>
  <si>
    <t>À partir du niveau 10, vous pouvez passer 1 minute pour vous créer un camouflage. Vous devez avoir accès à de la boue fraîche, de la crasse, des plantes, de la suie et d'autres matériaux naturels avec lesquels vous pouvez créer votre camouflage. Une fois que vous êtes camouflé de cette façon, vous pouvez essayer de vous cacher en vous appuyant contre une surface solide, comme un arbre ou un mur, s'il est au moins aussi grand et aussi large que vous. Vous bénéficiez d'un bonus de +10 aux jets de Dextérité (Discrétion) aussi longtemps que vous restez sans bouger et sans effectuer d'actions. Une fois que vous vous déplacez ou prenez une action ou une réaction, vous devez vous camoufler à nouveau pour regagner cet avantage.</t>
  </si>
  <si>
    <t>Disparition</t>
  </si>
  <si>
    <t>À partir du niveau 14, vous pouvez utiliser l’action Se cacher en tant qu'action bonus à votre tour. En outre, vous ne pouvez pas être suivi par des moyens non magiques, sauf si vous choisissez de laisser une trace.</t>
  </si>
  <si>
    <t>Sens sauvages</t>
  </si>
  <si>
    <t>Au niveau 18, vous gagnez un sens surnaturel qui vous aide à combattre les créatures que vous ne pouvez pas voir. Lorsque vous attaquez une créature que vous ne pouvez pas voir, votre incapacité à voir ne vous impose pas un désavantage à vos jets d'attaque contre elle. Vous êtes également au courant de l'emplacement d'une créature invisible dans un rayon de 9 mètres autour de vous, à condition que la créature ne se soit pas cachée vis-à-vis de vous et que vous ne soyez pas aveuglé ou assourdi.</t>
  </si>
  <si>
    <t>Tueur d'ennemis</t>
  </si>
  <si>
    <t>Au niveau 20, vous devenez un chasseur hors pair pour vos ennemis. Une fois à chacun de vos tours, vous pouvez ajouter votre modificateur de Sagesse au jet d'attaque ou de dégâts d'une attaque que vous effectuez contre l'un de vos ennemis favoris. Vous pouvez choisir d'utiliser cette capacité avant ou après le jet, mais avant que les effets du jet ne soient appliqués.</t>
  </si>
  <si>
    <t>Proie du chasseur</t>
  </si>
  <si>
    <t>Au niveau 3, vous gagnez l'une des capacités suivantes de votre choix.
Tueur de colosses. Votre ténacité peut user les ennemis les plus puissants. Quand vous touchez une créature lors d'une attaque avec une arme, la créature prend 1d8 dégâts supplémentaires si elle est sous ses points de vie maximums. Vous ne pouvez infliger ces dégâts supplémentaires qu'une fois par tour.
Tueur de géants. Quand une créature, de taille G ou supérieure et située à 1,50 mètre ou moins de vous, vous touche ou vous manque lors d'une attaque, vous pouvez utiliser votre réaction pour attaquer cette créature immédiatement après son attaque, à condition que vous puissiez voir la créature.
Briseur de horde. Une fois à chacun de vos tours, lorsque vous faites une attaque avec une arme, vous pouvez faire une autre attaque avec la même arme contre une créature différente qui se situe à 1,50 mètre ou moins de la cible initiale et à portée de votre arme.</t>
  </si>
  <si>
    <t>Tactiques défensives</t>
  </si>
  <si>
    <t>Au niveau 7, vous gagnez l'une des capacités suivantes de votre choix.
Échapper à la horde. Les attaques d'opportunité effectuées contre vous ont un désavantage.
Défense contre les attaques multiples. Quand une créature vous touche lors d'une attaque, vous gagnez un bonus de +4 à la CA contre toutes les attaques ultérieures effectuées par cette créature pour le reste du tour.
Moral d'acier. Vous avez un avantage aux jets de sauvegarde pour ne pas être effrayé.</t>
  </si>
  <si>
    <t>Attaques multiples</t>
  </si>
  <si>
    <t>Au niveau 11, vous gagnez l'une des capacités suivantes de votre choix.
Salve. Vous pouvez utiliser votre action pour faire une attaque à distance contre n'importe quel nombre de créatures situées à 3 mètres ou moins d'un point que vous pouvez voir et à portée de votre arme. Vous devez avoir assez de munitions pour chaque cible, logiquement, et devez faire un jet d'attaque distinct pour chaque cible.
Attaque tourbillonnante. Vous pouvez utiliser votre action pour réaliser une attaque au corps à corps contre toutes les créatures à 1,50 mètre ou moins de vous, avec un jet d'attaque distinct pour chaque cible.</t>
  </si>
  <si>
    <t>Défense du chasseur supérieure</t>
  </si>
  <si>
    <t>Au niveau 15, vous gagnez l'une des capacités suivantes de votre choix.
Dérobade. Vous pouvez vous retirer prestement de la trajectoire de certaines zones d'effet, comme celles du souffle ardent d'un dragon rouge ou d'un sort de foudre. Lorsque vous êtes soumis à un effet qui vous permet de faire un jet de sauvegarde de Dextérité pour ne prendre que la moitié des dégâts, vous ne prenez à la place aucun dégât si vous réussissez le jet, et seulement la moitié des dégâts si vous échouez.
Retour de bâton. Quand une créature hostile vous manque lors d'une attaque au corps à corps, vous pouvez utiliser votre réaction pour forcer cette créature à répéter la même attaque contre une autre créature (autre qu'elle-même) de votre choix.
Esquive instinctive. Quand un attaquant que vous pouvez voir vous touche lors d'une attaque, vous pouvez utiliser votre réaction pour réduire de moitié les dégâts de l'attaque contre vous.</t>
  </si>
  <si>
    <t>Compagnon du rôdeur</t>
  </si>
  <si>
    <t>Au niveau 3, vous gagnez un compagnon animal qui vous accompagne lors de vos aventures et qui est entraîné pour combattre à vos côtés. Choisissez une bête de taille M maximum et dont le facteur de puissance est de 1/4 ou moins (le bestiaire présente les caractéristiques du faucon, du molosse et de la panthère par exemple). Ajoutez votre bonus de maîtrise à la CA de la bête, à ses jets d'attaque et de dégâts, ainsi qu'aux jets de sauvegarde et de compétences qu'elle maîtrise. Son total de points de vie est égal à ses points de vie maximums normaux ou à quatre fois votre niveau de rôdeur (selon le plus haut des deux). Comme toute créature, le compagnon peut dépenser des dés de vie durant un repos court.
L'animal obéit à vos ordres du mieux qu'il peut. Son tour se déroule au même score d'initiative que vous. Lors de votre tour, vous pouvez ordonnez verbalement à votre animal de se déplacer vers où vous le souhaitez (ceci ne nécessitant aucune action de votre part). Vous pouvez utiliser votre action pour lui ordonner verbalement de réaliser les actions Attaquer, Aider, Foncer ou Se désengager. Si vous ne lui ordonnez rien, par défaut il prend l'action Esquiver. Une fois acquise la capacité d'Attaque supplémentaire, vous pouvez réaliser une attaque avec une arme tout en commandant à votre animal de réaliser l'action Attaquer. Si vous êtes absent ou incapable d'agir, la bête agit d'elle-même, vous protégeant et se protégeant en priorité. Elle n'a pas besoin d'être commandée pour utiliser sa réaction, comme pour effectuer une attaque d'opportunité par exemple.
Lorsque vous voyagez sur votre terrain favori avec votre bête pour unique compagnie, vous pouvez vous déplacer discrètement à votre rythme normal.
Si votre animal meurt, vous pouvez en obtenir un autre en passant 8 heures à vous lier par magie avec une autre bête qui n'est pas hostile envers vous, du même type que la précédente ou totalement différent.</t>
  </si>
  <si>
    <t>Entraînement exceptionnel</t>
  </si>
  <si>
    <t>À partir du niveau 7, lorsque lors de votre tour votre compagnon animal n'attaque pas, vous pouvez utiliser votre action bonus pour ordonner à votre animal de réaliser l'action Aider, Foncer ou Se désengager lors de son tour. De plus, l'attaque du compagnon compte dorénavant comme étant magique pour ce qui est de la résistance et de l'immunité aux attaques et aux dégâts non magiques.</t>
  </si>
  <si>
    <t>Fureur bestiale</t>
  </si>
  <si>
    <t>À partir du niveau 11, lorsque vous ordonnez à votre compagnon animal d'effectuer l'action Attaquer, celui-ci peut attaquer deux fois ou prendre l'action Attaques multiples s'il la possède.</t>
  </si>
  <si>
    <t>Partage des sorts</t>
  </si>
  <si>
    <t>À partir du niveau 15, lorsque vous lancez un sort vous prenant pour cible, vous pouvez aussi affecter votre compagnon animal avec le même sort si la bête se trouve à 9 mètres ou moins de vous.</t>
  </si>
  <si>
    <t>Expertise</t>
  </si>
  <si>
    <t>Au niveau 1, choisissez deux des compétences que vous maîtrisez, ou l'une d'elles et votre maîtrise des outils de voleur. Votre bonus de maîtrise est doublé pour tout jet de caractéristique que vous réalisez et qui utilise l'une des compétences choisies.
Au niveau 6, vous pouvez choisir deux maîtrises supplémentaires (compétences ou outils de voleur) et obtenir le même avantage.</t>
  </si>
  <si>
    <t>À partir du niveau 1, vous savez comment trouver et exploiter subtilement la distraction d'un ennemi. Une fois par tour, vous pouvez infliger 1d6 points de dégâts supplémentaires à une créature que vous réussissez à toucher si vous avez un avantage au jet d'attaque. L'attaque doit utiliser une arme de finesse ou une arme à distance. Vous n'avez pas besoin d'avoir un avantage au jet d'attaque si un autre ennemi de la cible est à 1,50 mètre ou moins de celle-ci, que cet ennemi n'est pas incapable d'agir, et que vous n'avez pas un désavantage au jet d'attaque. Le nombre de dégâts supplémentaires augmente à mesure que vous gagnez des niveaux dans cette classe, comme indiqué dans la colonne Attaque sournoise de la table ci-dessus.</t>
  </si>
  <si>
    <t>Jargon des voleurs</t>
  </si>
  <si>
    <t>Au cours de votre formation de roublard, vous avez appris le jargon des voleurs, un mélange secret de dialecte, de jargon et de codes, qui vous permet de cacher des messages dans une conversation apparemment normale. Seule une autre créature qui connaît le jargon des voleurs comprend ces messages. Il faut quatre fois plus de temps pour transmettre un tel message qu'il ne le faudrait pour transmettre la même idée clairement.
En outre, vous comprenez un ensemble de signes et de symboles secrets utilisés pour transmettre des messages courts et simples, comme pour indiquer qu'une zone est dangereuse ou qu'elle fait partie du territoire d'une guilde des voleurs, qu'un butin est à proximité, ou que les gens d'une région sont des proies faciles ou qu'ils fourniront une maison sûre pour des voleurs en fuite.</t>
  </si>
  <si>
    <t>Ruse</t>
  </si>
  <si>
    <t>À partir du niveau 2, votre vivacité d'esprit et votre agilité vous permettent de vous déplacer et d'agir rapidement. Vous pouvez effectuer une action bonus à chacun de vos tours en combat. Cette action ne peut être utilisée que pour Se désengager, Se cacher ou Foncer.</t>
  </si>
  <si>
    <t>Au niveau 4, puis par la suite aux niveaux 8, 10, 12, 16 et 19, vous pouvez augmenter une valeur de caractéristique de votre choix de +2, ou bien augmenter deux valeurs de caractéristique de votre choix de +1. Vous ne pouvez cependant pas augmenter une caractéristique au-delà de 20 par ce biais.</t>
  </si>
  <si>
    <t>Esquive instinctive</t>
  </si>
  <si>
    <t>À partir du niveau 5, quand un attaquant que vous pouvez voir vous touche avec une attaque, vous pouvez utiliser votre réaction pour réduire de moitié les dégâts de l'attaque contre vous.</t>
  </si>
  <si>
    <t>À partir du niveau 7, vous pouvez esquiver certains effets de zone, tels le souffle ardent d'un dragon rouge ou un sort de tempête de glace. Lorsque vous êtes sujet à un effet qui vous permet de faire un jet de sauvegarde de Dextérité pour ne prendre que la moitié des dégâts, vous ne prenez aucun dégât si vous réussissez le jet de sauvegarde, et seulement la moitié des dégâts si vous échouez.</t>
  </si>
  <si>
    <t>Talent</t>
  </si>
  <si>
    <t>À partir du niveau 11, les compétences que vous avez choisies sont si affinées qu'elles approchent la perfection. Chaque fois que vous faites un jet de caractéristique qui vous permet d'ajouter votre bonus de maîtrise, vous pouvez traiter un résultat au dé de 9 ou moins comme un 10.</t>
  </si>
  <si>
    <t>Ouïe fine</t>
  </si>
  <si>
    <t>À partir du niveau 14, si vous êtes capable d'entendre, vous pouvez assumer l'emplacement de n'importe quelle créature cachée ou invisible à 3 mètres ou moins de vous.</t>
  </si>
  <si>
    <t>À partir du niveau 15, vous avez acquis une plus grande force mentale. Vous gagnez la maîtrise aux jets de sauvegarde de Sagesse.</t>
  </si>
  <si>
    <t>Insaisissable</t>
  </si>
  <si>
    <t>À partir du niveau 18, les attaquants gagnent rarement le dessus sur vous. Aucun jet d'attaque n'a d'avantage contre vous tant que vous n'êtes pas incapable d'agir.</t>
  </si>
  <si>
    <t>Coup de chance</t>
  </si>
  <si>
    <t>Au niveau 20, vous avez un talent surnaturel pour réussir quand vous en avez besoin. Si votre attaque échoue contre une cible à portée, vous pouvez transformer l'échec en succès. Ou bien si vous échouez à un jet de caractéristique, vous pouvez traiter le résultat du d20 comme un 20. Une fois cette capacité utilisée, vous devez terminer un repos court ou long pour pouvoir l'utiliser de nouveau.</t>
  </si>
  <si>
    <t>Lorsque vous choisissez cet archétype au niveau 3, vous gagnez la maîtrise du kit de déguisement et du kit d'empoisonneur.</t>
  </si>
  <si>
    <t>Assassinat</t>
  </si>
  <si>
    <t>À partir du niveau 3, vous êtes au summum de votre art lorsque vous prenez votre adversaire au dépourvu. Vous avez un avantage à vos jets d'attaque contre toute créature qui n'a pas encore joué son tour durant le combat. En outre, si vous attaquez et touchez une créature surprise, cette attaque est considérée comme un coup critique.</t>
  </si>
  <si>
    <t>Expert en infiltration</t>
  </si>
  <si>
    <t>À partir du niveau 9, vous pouvez créer de fausses identités pour vous-même. Vous devez passer une semaine et dépenser 25 po pour établir l'histoire, la profession et les affiliations d'une identité. Cependant, vous ne pouvez pas établir une identité qui appartient déjà à une personne existante. Par exemple, vous devriez vous procurer les vêtements adéquats, des lettres d'introduction et une certification paraissant officielle pour vous faire passer pour le membre d'une guilde d'une ville lointaine et ainsi vous infiltrer dans un cercle de marchands. Par la suite, si vous adoptez une nouvelle identité avec un déguisement, les autres créatures croiront que vous êtes cette personne jusqu'à ce qu'elles aient une bonne raison pour penser le contraire.</t>
  </si>
  <si>
    <t>Imposteur</t>
  </si>
  <si>
    <t>À partir du niveau 13, vous gagnez la capacité d'imiter le discours, l'écriture et le comportement d'une autre personne avec une précision extraordinaire. Vous devez étudier pendant au moins trois heures ces trois aspects (écouter parler la personne, examiner son écriture ou observer ses manières). Votre ruse est indiscernable pour un observateur occasionnel. Si une créature suspecte que quelque chose ne va pas, vous avez un avantage à tous les jets de Charisme (Tromperie) que vous réalisez pour éviter d'être détecté.</t>
  </si>
  <si>
    <t>Frappe mortelle</t>
  </si>
  <si>
    <t>À partir du niveau 17, vous êtes un maître de la mort instantanée. Quand vous attaquez et touchez une créature qui est surprise, celle-ci doit réussir un jet de sauvegarde de Constitution DD 8 + votre modificateur de Dextérité + votre bonus de maîtrise. En cas d'échec, doublez les dégâts de l'attaque contre cette créature.</t>
  </si>
  <si>
    <t>Mains lestes</t>
  </si>
  <si>
    <t>À partir du niveau 3, vous pouvez utiliser l'action bonus accordée par votre Ruse pour réaliser un jet de Dextérité (Escamotage), utiliser vos outils de voleur pour désarmer un piège ou ouvrir une serrure, ou prendre l'action Utiliser un objet.</t>
  </si>
  <si>
    <t>Monte-en-l'air</t>
  </si>
  <si>
    <t>À partir du niveau 3, vous gagnez la possibilité d'escalader plus vite que la normale ; escalader ne vous coûte aucun mouvement supplémentaire. En outre, lorsque vous effectuez un saut en longueur, la distance que vous pouvez couvrir augmente d'une distance égale à votre modificateur de Dextérité x 30 cm.</t>
  </si>
  <si>
    <t>Discrétion suprême</t>
  </si>
  <si>
    <t>À partir du niveau 9, vous avez un avantage à tous vos jets de Dextérité (Discrétion) si vous ne vous déplacez pas de plus de la moitié de votre vitesse durant le même tour.</t>
  </si>
  <si>
    <t>Utilisation des objets magiques</t>
  </si>
  <si>
    <t>À partir du niveau 13, vous en savez assez sur le fonctionnement de la magie pour pouvoir utiliser des objets même s'ils ne vous sont pas destinés. Ignorez toutes les exigences de classe, de race et de niveau pour l'utilisation d'objets magiques.</t>
  </si>
  <si>
    <t>Réflexes de voleur</t>
  </si>
  <si>
    <t>À partir du niveau 17, vous pouvez jouer deux tours lors du premier round d'un combat. Vous prenez votre premier tour suivant votre initiative normale et votre deuxième tour à votre initiative moins 10. Vous ne pouvez pas utiliser cette capacité si vous êtes surpris.</t>
  </si>
  <si>
    <t>Lorsque vous atteignez le niveau 3, vous gagnez la possibilité de lancer des sorts.
Sorts mineurs. Vous apprenez trois sorts mineurs : main de mage et deux autres sorts mineurs de votre choix dans la liste de sorts de magicien. Vous apprenez un autre sort mineur de votre choix au niveau 10.
Emplacements de sorts. La table ci-dessous montre de combien d'emplacements de sorts vous disposez pour lancer vos sorts de magicien de niveau 1 et supérieur. Pour lancer un de ces sorts, vous devez dépenser un emplacement du niveau du sort ou supérieur. Vous regagnez tous les emplacements de sorts dépensés lorsque vous terminez un repos long. Par exemple, si vous connaissez le sort de niveau 1 charme-personne et qu'il vous reste un emplacement de niveau 1 et un emplacement de niveau 2, vous pouvez jeter deux fois ce sort.
Sorts connus du niveau 1 et supérieur. Vous connaissez trois sorts de magicien de niveau 1 de votre choix, dont deux que vous devez choisir dans les écoles d’enchantement ou d'illusion. La colonne Sorts connus indique à quel niveau vous apprenez plus de sorts de magicien de niveau 1 ou plus élevé. Chacun de ces sorts doit être de l’école d’enchantement ou d'illusion,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d’enchantement ou d'illusion, à moins que vous ne remplaciez le sort que vous avez acquis au niveau 8, 14 ou 20.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DD de sauvegarde des sorts = 8 + votre bonus de maîtrise + votre modificateur d'Intelligence
Modificateur aux attaques avec un sort = votre bonus de maîtrise + votre modificateur d'Intelligence</t>
  </si>
  <si>
    <t>Escamotage et main de mage</t>
  </si>
  <si>
    <t>À partir du niveau 3, lorsque vous lancez main de mage, vous pouvez rendre la main spectrale invisible, et vous pouvez effectuer les tâches supplémentaires suivantes avec celle-ci :
Vous pouvez ranger un objet que la main tient dans un contenant, porté ou transporté par une autre créature.
Vous pouvez récupérer un objet dans un contenant, porté ou transporté par une autre créature.
Vous pouvez utiliser des outils de voleur pour crocheter les serrures et pour désarmer les pièges à distance.
Vous pouvez effectuer une de ces tâches sans vous faire remarquer par une créature si vous réussissez un jet de Dextérité (Escamotage) opposé à un jet de Sagesse (Perception) de la créature. En outre, vous pouvez utiliser l'action bonus accordé par votre Ruse pour contrôler la main.</t>
  </si>
  <si>
    <t>Embuscade magique</t>
  </si>
  <si>
    <t>À partir du niveau 9, si vous êtes caché d'une créature quand vous lui lancez un sort, la créature a un désavantage à tous les jets de sauvegarde contre ce sort pendant ce tour.</t>
  </si>
  <si>
    <t>Escroc polyvalent</t>
  </si>
  <si>
    <t>Au niveau 13, vous obtenez la possibilité de distraire les cibles avec la main de main de mage. Par une action bonus à votre tour, vous pouvez désigner une créature dans un rayon de 1,50 mètre autour de la main spectrale créé par le sort. Le faire vous donne un avantage aux jets d’attaque contre cette créature jusqu'à la fin du tour.</t>
  </si>
  <si>
    <t>Voleur de sorts</t>
  </si>
  <si>
    <t>Au niveau 17, vous gagnez la capacité de voler magiquement à un lanceur de sorts sa connaissance pour lancer un sort. Immédiatement après qu’une créature jette un sort qui vous cible ou vous inclut dans sa zone d'effet, vous pouvez utiliser votre réaction pour forcer la créature à faire un jet de sauvegarde avec le modificateur de sa caractéristique d'incantation. Le DD est égal à votre sort DD de sauvegarde contre les sorts. En cas d'échec, vous niez l'effet du sort contre vous, et vous volez la connaissance du sort s’il est au moins de niveau 1 et d'un niveau que vous pouvez lancer (le sort ne doit pas forcément être un sort de magicien). Pour les prochaines 8 heures, vous connaissez le sort et pouvez le lancer à l'aide de vos emplacements de sorts. La créature ne peut plus lancer ce sort jusqu'à ce que les 8 heures soient passées. Une fois que vous utilisez cette capacité, vous ne pouvez pas l'utiliser de nouveau jusqu'à ce que vous finissiez un repos long.</t>
  </si>
  <si>
    <t>Maître des intrigues</t>
  </si>
  <si>
    <t>Lorsque vous choisissez cet archétype au niveau 3, vous gagnez la maîtrise du kit de déguisement, du kit de contrefaçon et d'un type de jeu de votre choix. Vous apprenez également deux langues de votre choix. En outre, vous pouvez infailliblement imiter la tonalité de voix et l'accent d'une créature que vous entendez parler pendant au moins 1 minute, vous permettant de vous faire passer pour un locuteur natif d'une terre particulière, à condition de connaitre la langue.</t>
  </si>
  <si>
    <t>Maître des tactiques</t>
  </si>
  <si>
    <t>À partir du niveau 3, vous pouvez utiliser l'action Aider en tant qu'action bonus. En outre, lorsque vous utilisez l'action Aider pour aider un allié à attaquer une créature, la cible de cette attaque peut être dans un rayon de 9 mètres autour de vous, au lieu de 1,50 mètre, si la cible peut vous voir ou vous entendre.</t>
  </si>
  <si>
    <t>Manipulateur perspicace</t>
  </si>
  <si>
    <t>À partir du niveau 9, si vous passez au moins 1 minute à observer ou interagir avec une autre créature en dehors d'une situation de combat, vous pouvez apprendre certaines informations sur ses capacités par rapport aux vôtres. Le MD vous indique si la créature est votre égal, supérieur ou inférieur par rapport à deux des caractéristiques suivantes de votre choix :
Valeur d'Intelligence
Valeur de Sagesse
Valeur de Charisme
Niveau de classe (le cas échéant)
À la discrétion du MD, vous pouvez aussi réaliser que vous connaissez une part de l'histoire de la créature ou l'un de ses traits de personnalité, si elle en possède.</t>
  </si>
  <si>
    <t>Redirection</t>
  </si>
  <si>
    <t>À partir du niveau 13, vous pouvez parfois faire qu'une créature finisse par être la cible d'une attaque qui vous visait. Lorsque vous êtes ciblé par une attaque alors qu'une créature dans un rayon de 1,50 mètre autour de vous vous offre un abri contre cette attaque, vous pouvez utiliser votre réaction pour que la cible de l'attaque soit cette créature, à votre place.</t>
  </si>
  <si>
    <t>Âme de trompeur</t>
  </si>
  <si>
    <t>À partir du niveau 17, vos pensées ne peuvent être lues par télépathie ou par d'autres moyens, sauf si vous le permettez. Vous pouvez présenter de fausses pensées en faisant un jet de Charisme (Tromperie) opposé à un jet de Sagesse (Perspicacité) du lecteur de votre esprit. En outre, peu importe ce que vous dites, la magie qui permettrait de déterminer si vous dites la vérité indique que vous ne mentez pas, si vous le souhaitez, et vous ne pouvez pas être obligé de dire la vérité par magie.</t>
  </si>
  <si>
    <t>Faveur de pacte</t>
  </si>
  <si>
    <t>Au niveau 3, votre patron vous gratifie d’une aptitude pour votre loyauté. Vous gagnez une des capacités suivantes de votre choix.
Pacte de la Chaîne
Vous apprenez le sort appel de familier et pouvez le lancer sous forme de rituel. Ce sort n’est pas comptabilisé comme un sort connu. Lorsque vous lancez le sort, vous pouvez choisir une forme normale pour votre familier (voir le sort) ou bien une des formes spéciales suivantes : esprit follet, diablotin, pseudodragon ou quasit.
En outre, quand vous choisissez l’action Attaquer, vous pouvez renoncer à une de vos attaques pour permettre à votre familier d’attaquer. Lorsque vous laissez votre familier attaquer, il le fait avec sa réaction.
Pacte de la Lame
Vous pouvez utiliser une action pour créer une arme de pacte dans votre main libre. Vous pouvez choisir la forme que prend cette arme de corps à corps à chaque fois que vous la créez. Vous maîtrisez cette arme tant que vous la tenez en main. Cette arme est considérée comme magique au regard des résistances et des immunités aux attaques et aux dégâts non magiques.
Votre arme de pacte disparaît si elle se trouve à plus de 1,50 mètre de vous pendant une minute ou plus. Elle disparaît également si vous utilisez à nouveau cette aptitude, si vous congédiez l’arme ou si vous mourrez.
Vous pouvez transformer une arme magique pour en faire votre arme de pacte en effectuant un rituel spécial si vous tenez l’arme en main. Vous réalisez le rituel en 1 heure, ce qui peut être fait durant un repos court. Vous pouvez alors congédier l’arme, la déplaçant dans un espace extra dimensionnel, pour la faire réapparaître à chaque fois que vous créez votre arme de pacte par la suite. Vous ne pouvez affecter un artéfact ou une arme intelligente par ce procédé. Cette arme cesse d’être votre arme de pacte si vous mourrez, si vous vous liez avec une arme différente ou si vous réalisez le rituel de 1 heure pour briser le lien vous unissant à elle. L’arme apparaît alors à vos pieds si elle se trouve dans l’espace extra dimensionnel quand le lien est brisé.
Pacte du Grimoire
Votre patron vous offre un grimoire appelé un Livre des Ombres. Dès lors que vous bénéficiez de cette capacité, choisissez trois sorts mineurs dans la liste de sorts de n'importe quelles classes. Tant que vous portez le grimoire sur vous, vous pouvez lancer ces sorts mineurs à volonté. Ils ne comptent pas dans votre nombre de sorts mineurs connus. Même s'ils ne sont pas sur la liste de sorts de sorcier, vous pouvez les considérer comme des sorts de sorcier.
Si vous perdez votre Livre des Ombres, vous pouvez réaliser une cérémonie de 1 heure pour en recevoir un nouveau de la part de votre patron. Cette cérémonie détruit le grimoire précédent et peut être réalisée durant un repos court ou long. Le grimoire se transforme en cendre quand vous mourrez.
Amélioration de caractéristiques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</si>
  <si>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Arcanum mystique</t>
  </si>
  <si>
    <t>Au niveau 11, votre patron vous gratifie d’un secret magique appelé Arcanum. Choisissez un sort de niveau 6 dans la liste du sorcier, lequel sera votre Arcanum. Vous pouvez lancer votre Arcanum une fois sans utiliser un emplacement de sort. Vous ne pouvez le lancer de nouveau avant d’avoir terminé un repos long.
Aux niveaux supérieurs, vous bénéficiez d’autres sorts de sorcier de votre choix qui peuvent être utilisés de cette façon : un sort de niveau 7 au niveau 13, un sort de niveau 8 au niveau 15 et un sort de niveau 9 au niveau 17. Vous regagnez l’usage de tous vos Arcanums après un repos long.</t>
  </si>
  <si>
    <t>Maître de l'occulte</t>
  </si>
  <si>
    <t>Au niveau 20, vous pouvez puiser dans vos réserves mystiques internes pour supplier votre patron afin de récupérer vos emplacements de sorts dépensés. Vous pouvez passer 1 minute à supplier votre patron pour regagner tous vos emplacements de sorts dépensés de votre Magie de pacte. Une fois que vous avez récupéré les emplacements de sorts par ce biais, vous devez terminer un repos long avant de pouvoir le refaire.</t>
  </si>
  <si>
    <t>Liste de sorts étendue</t>
  </si>
  <si>
    <t>L'archifée vous permet de choisir parmi une liste étendue de sorts lorsque vous apprenez un sort de sorcier. Vous ajoutez les sorts suivants à la liste de sorts de sorcier.
Niveau de sort	Sorts
1	            lueurs féeriques, sommeil
2	            apaisement des émotions, force fantasmagorique
3	            clignotement, croissance végétale
4	            domination de bête, invisibilité supérieure
5	            apparence trompeuse, domination d'humanoïde</t>
  </si>
  <si>
    <t>Présence féerique</t>
  </si>
  <si>
    <t>À partir du niveau 1, votre patron vous donne la capacité de projeter la séduisante et redoutable présence des fées. Par une action, vous pouvez obliger toute créature dans un cube de 3 mètres prenant origine à partir de vous-même à réaliser un jet de sauvegarde de Sagesse contre le DD de vos sorts de sorcier. Vous charmez ou effrayez (selon votre choix) les créatures qui ratent leur jet de sauvegarde jusqu'à la fin de votre prochain tour. Une fois que vous avez utilisé cette capacité, vous ne pouvez pas l'utiliser à nouveau jusqu'à ce que vous terminiez un repos court ou long.</t>
  </si>
  <si>
    <t>Échappatoire brumeuse</t>
  </si>
  <si>
    <t>À partir du niveau 6, vous pouvez disparaître dans un nuage de brume en réponse à un préjudice. Lorsque vous subissez des dégâts, vous pouvez utiliser votre réaction pour devenir invisible et vous téléporter jusqu'à 18 mètres dans un espace inoccupé que vous pouvez voir. Vous restez invisible jusqu'au début de votre prochain tour ou jusqu'à ce que vous attaquiez ou lanciez un sort. Une fois que vous avez utilisé cette capacité, vous ne pouvez pas l'utiliser à nouveau jusqu'à ce que vous terminiez un repos court ou long.</t>
  </si>
  <si>
    <t>Défenses séduisantes</t>
  </si>
  <si>
    <t>À partir du niveau 10, votre patron vous enseigne à retourner contre eux la magie de vos ennemis qui affecte l'esprit. Vous êtes immunisé aux charmes, et lorsqu'une créature tente de vous charmer, vous pouvez utiliser votre réaction pour tenter de retourner son charme contre elle. La créature doit réussir un jet de sauvegarde de Sagesse contre le DD de vos sorts de sorcier, ou vous la charmez pendant 1 minute ou jusqu'à ce que la créature subisse des dégâts.</t>
  </si>
  <si>
    <t>Sombre délire</t>
  </si>
  <si>
    <t>À partir du niveau 14, vous pouvez plonger une créature dans un univers illusoire. Par une action, choisissez une créature que vous pouvez voir dans un rayon de 18 mètres autour de vous. Celle-ci doit réaliser un jet de protection de Sagesse contre le DD de vos sorts de sorcier. En cas d'échec, vous la charmez ou l'effrayez (selon votee choix) pendant 1 minute ou jusqu'à ce que votre concentration soit brisée (comme si vous vous concentriez sur un sort). Cet effet se termine plus tôt si la créature subit des dégâts. Jusqu'à ce que cette illusion se termine, la créature pense qu'elle est perdue dans un royaume brumeux dont vous choississez l'apparence. La créature ne peut voir et entendre qu'elle-même, vous, et l'illusion. Vous devez terminer un repos court ou long avant de pouvoir utiliser cette capacité de nouveau.</t>
  </si>
  <si>
    <t>Le fiélon vous permet de choisir parmi une liste étendue de sorts lorsque vous apprenez un sort de sorcier. Vous ajoutez les sorts suivants à la liste de sorts de sorcier.
Niveau de sort	Sorts
1	            injonction, mains brûlantes
2	            cécité/surdité, rayon ardent
3	            boule de feu, nuage puant
4	            bouclier de feu, mur de feu
5	            colonne de flamme, sanctification</t>
  </si>
  <si>
    <t>Bénédiction du ténébreux</t>
  </si>
  <si>
    <t>À partir du niveau 1, lorsque vous réduisez une créature hostile à 0 point de vie, vous gagnez un nombre de points de vie temporaires égal à votre modificateur de Charisme + votre niveau de sorcier (minimum 1).</t>
  </si>
  <si>
    <t>Chance du ténébreux</t>
  </si>
  <si>
    <t>À partir du niveau 6, vous pouvez appeler votre patron afin qu'il modifie le sort en votre faveur. Lorsque vous effectuez un jet de caractéristique ou un jet de sauvegarde, vous pouvez utiliser cette capacité pour ajouter un d10 à votre jet. Vous pouvez décider de le faire après avoir lancé le dé initial, mais la décision doit être prise avant que l'effet ne se produise. Une fois que vous avez utilisé cette capacité, vous ne pouvez pas l'utiliser à nouveau jusqu'à ce que vous terminiez un repos court ou long.</t>
  </si>
  <si>
    <t>Résistance fiélonne</t>
  </si>
  <si>
    <t>À partir du niveau 10, vous pouvez choisir un type de dégâts lorsque vous terminez un repos court ou long. Vous gagnez alors la résistance à ce type de dégâts jusqu'à ce que vous en choisissiez un autre grâce à cette capacité. Les dégâts causés par des armes magiques ou des armes en argent ignorent cette résistance.</t>
  </si>
  <si>
    <t>Traversée des enfers</t>
  </si>
  <si>
    <t>À partir du niveau 14, lorsque vous touchez une créature avec une attaque, vous pouvez utiliser cette capacité pour transporter instantanément la cible vers les plans inférieurs. La créature disparaît et passe par un paysage de cauchemar. À la fin de votre prochain tour, la cible revient dans l'espace qu'elle occupait précédemment, ou dans l'espace libre le plus proche. Si la cible n'est pas un fiélon, elle prend 10d10 dégâts psychiques lorsqu'elle revient de son horrible expérience. Une fois que vous avez utilisé cette capacité, vous ne pouvez pas l'utiliser à nouveau jusqu'à ce que vous terminiez un repos long.</t>
  </si>
  <si>
    <t>Le Grand Ancien vous permet de choisir parmi une liste étendue de sorts lorsque vous apprenez un sort de sorcier. Vous ajoutez les sorts suivants à la liste de sorts de sorcier.
Niveau de sort	Sorts
1	            fou rire de Tasha, murmures dissonants
2	            détection des pensées, force fantasmagorique
3	            clairvoyance, communication à distance
4	            domination de bête, tentacules noirs d'Evard
5	            domination d'humanoïde, télékinésie</t>
  </si>
  <si>
    <t>Esprit éveillé</t>
  </si>
  <si>
    <t>À partir du niveau 1, votre connaissance extraterrestre vous donne la possibilité de toucher les esprits d'autres créatures. Vous pouvez parler télépathiquement à toute créature que vous pouvez voir dans un rayon de 9 mètres autour de vous. Vous n'avez pas besoin de partager une langue avec la créature pour qu'elle comprenne vos paroles télépathiques, mais la créature doit être capable de comprendre au moins une langue.</t>
  </si>
  <si>
    <t>Protection entropique</t>
  </si>
  <si>
    <t>À partir du niveau 6, vous apprenez à vous protéger magiquement contre les attaques et à retourner en votre faveur l'échec d'un ennemi. Lorsqu'une créature fait un jet d'attaque contre vous, vous pouvez utiliser votre réaction pour lui imposer un désavantage à ce jet. Si l'attaque échoue, votre prochain jet d'attaque contre cette créature a l'avantage si vous l'attaquez avant la fin de votre prochain tour. Une fois que vous avez utilisé cette capacité, vous ne pouvez pas l'utiliser à nouveau jusqu'à ce que vous terminiez un repos court ou long.</t>
  </si>
  <si>
    <t>Bouclier mental</t>
  </si>
  <si>
    <t>À partir du niveau 10, vos pensées ne peuvent pas être lues par télépathie ou par d'autres moyens, sauf si vous le permettez. Vous avez également la résistance aux dégâts psychiques, et chaque fois qu'une créature vous inflige des dégâts psychiques, elle prend la même quantité de dégâts que vous.</t>
  </si>
  <si>
    <t>Asservissement</t>
  </si>
  <si>
    <t>Au niveau 14, vous gagnez la capacité d'infecter l'esprit d'un humanoïde par la magie extraterrestre de votre patron. Vous pouvez utiliser votre action pour toucher un humanoïde incapable d'agir. Vous charmez alors cette créature jusqu'à ce qu'un sort de délivrance des malédictions lui soit lancé, que la condition charmé lui soit retirée, ou que vous utilisiez cette capacité à nouveau. Vous pouvez communiquer par télépathie avec la créature charmée aussi longtemps que vous vous trouvez tous les deux sur le même plan d'existence.</t>
  </si>
  <si>
    <t>Auto</t>
  </si>
  <si>
    <t>Special</t>
  </si>
  <si>
    <t>Nombre d'utilisation</t>
  </si>
  <si>
    <t>Stats</t>
  </si>
  <si>
    <t>"Inspiration bardique", "Source d'inspiration"</t>
  </si>
  <si>
    <t>"Expertise", "Secrets magiques"</t>
  </si>
  <si>
    <t>"Chant de repos"</t>
  </si>
  <si>
    <t>Canalisation d’énergie divine</t>
  </si>
  <si>
    <t>Au niveau 2, vous gagnez la possibilité de canaliser l'énergie divine directement depuis votre divinité et d'utiliser cette énergie pour alimenter des effets magiques. Vous commencez avec deux effets : Renvoi des morts-vivants et un effet déterminé par votre domaine. Certains domaines vous accordent des effets supplémentaires lorsque vous montez de niveau, comme indiqué dans la description du domaine. Lorsque vous utilisez votre Canalisation d'énergie divine, vous choisissez quel effet créer. Vous devez ensuite terminer un repos court ou long pour pouvoir utiliser votre Canalisation d'énergie divine de nouveau.
Certains effets de la Canalisation d'énergie divine demandent un jet de sauvegarde. Lorsque vous utilisez un tel effet de cette classe, le DD est égal au DD de vos sorts de clerc.
À partir du niveau 6, vous pouvez utiliser votre Canalisation d'énergie divine deux fois entre deux repos, et à partir du niveau 18, vous pouvez l'utiliser trois fois entre deux repos. Lorsque vous terminez un repos court ou long, vous regagnez vos utilisations dépensées.</t>
  </si>
  <si>
    <t>"Canalisation d’énergie divine", "Canalisation d’énergie divine : renvoi des morts-vivants"</t>
  </si>
  <si>
    <t>Choisissez un domaine lié à votre divinité : duperie, guerre, lumière, nature, savoir, tempête ou vie. Votre choix vous accorde des sorts de domaine et des capacités spéciales dès le niveau 1, puis de nouvelles aux niveaux 6, 8 et 17. Il vous octroie également des manières supplémentaires pour utiliser la Canalisation d’énergie divine du niveau 2.</t>
  </si>
  <si>
    <t>Au niveau 3, vous choisissez la voie par laquelle s'exprime votre rage. Choisissez la voie du berserker ou la voie du guerrier totem, chacune étant détaillée ci-dessous. Votre choix vous accorde des capacités aux niveaux 3, 6, 10 et 14.</t>
  </si>
  <si>
    <t>Druidique</t>
  </si>
  <si>
    <t>Vous connaissez le druidique, le langage secret des druides. Vous pouvez parler cette langue et l'utiliser pour laisser des messages secrets. Vous, et les autres personnes connaissant ce langage, remarquez automatiquement un tel message. Les autres personnages remarquent la présence du message s'ils réussissent un jet de Sagesse (Perception) DD 15 mais ne peuvent pas le déchiffrer sans utiliser la magie.</t>
  </si>
  <si>
    <t>Au niveau 2, vous devez choisir à quel cercle de druide vous appartenez : le cercle de la terre ou le cercle de la lune, chacun étant détaillé plus bas. Votre choix vous confère de nouvelles capacités aux niveaux 2, puis 6, 10, et 14.</t>
  </si>
  <si>
    <t>Tradition arcanique</t>
  </si>
  <si>
    <t>Au niveau 2, choisissez une tradition arcanique, qui forgera votre pratique de la magie à travers une des huit écoles : abjuration, divination, enchantement, évocation, illusion, invocation, nécromancie ou transmutation. Votre choix vous accorde des capacités spéciales au niveau 2 puis de nouvelles aux niveaux 6, 10 et 14.</t>
  </si>
  <si>
    <t>Au niveau 2, vous adoptez un style particulier de combat qui sera votre spécialité. Choisissez l'une des options suivantes. Vous ne pouvez pas prendre une option de style de combat plus d'une fois, même si vous obtenez plus tard la possibilité de choisir un nouveau style.</t>
  </si>
  <si>
    <t>Au niveau 2, Vous adoptez un style particulier de combat qui sera votre spécialité. Choisissez l'une des options suivantes. Vous ne pouvez pas prendre une option de Style de combat plus d'une fois, même si vous obtenez plus tard la possibilité de choisir un nouveau style.</t>
  </si>
  <si>
    <t>Au niveau 3, vous choisissez un archétype qui vous inspire : le chasseur ou le maître des bêtes, détaillé à la fin de la description de classe. Votre choix vous accorde des capacités aux niveaux 3, 7, 11 et niveau 15.</t>
  </si>
  <si>
    <t>Source de magie</t>
  </si>
  <si>
    <t>Choisissez une origine d'ensorceleur, qui décrit la source de votre pouvoir magique inné : lignée draconique ou magie sauvage, lesquelles sont détaillées à la fin de la description de la classe.</t>
  </si>
  <si>
    <t>Au niveau 2, vous puisez dans une source profonde de magie en vous. Cette source est représentée par des points de sorcellerie qui vous permettent de créer une variété d'effets magiques.</t>
  </si>
  <si>
    <t>Au niveau 3, choisissez un archétype que vous émulez dans l'exercice de vos capacités de roublard. Votre archétype vous accorde des capacités spéciales au niveau 3 puis de nouvelles aux niveaux 9, 13 et 17. Voir Archétypes de roublard ci-dessous.</t>
  </si>
  <si>
    <t>Vous adoptez un style particulier de combat qui sera votre spécialité. Choisissez l'une des options suivantes. Vous ne pouvez pas prendre une option de style de combat plus d'une fois, même si vous obtenez plus tard la possibilité de choisir un nouveau style.</t>
  </si>
  <si>
    <t>Archétype martial</t>
  </si>
  <si>
    <t>Au niveau 3, choisissez un archétype que vous vous efforcez d'imiter dans vos styles et techniques de combat. Votre archétype vous accorde des capacités spéciales au niveau 3 puis de nouvelles aux niveaux 7, 10, 15 et 18. Voir Archétypes martiaux ci-dessous.</t>
  </si>
  <si>
    <t>"Sursaut"</t>
  </si>
  <si>
    <t>"Indomptable"</t>
  </si>
  <si>
    <t>"BARD", "SORCERER", "MAGICIAN", "OCCULT_KNIGHT", "ARCANE_SWINDLER", "WIZARD"</t>
  </si>
  <si>
    <t>"SORCERER", "MAGICIAN", "OCCULT_KNIGHT", "ARCANE_SWINDLER"</t>
  </si>
  <si>
    <t>"SORCERER", "MAGICIAN", "OCCULT_KNIGHT", "ARCANE_SWINDLER", "WIZARD"</t>
  </si>
  <si>
    <t>"DRUID", "SORCERER", "MAGICIAN", "OCCULT_KNIGHT", "ARCANE_SWINDLER"</t>
  </si>
  <si>
    <t>"BARD", "DRUID", "SORCERER", "MAGICIAN", "OCCULT_KNIGHT", "ARCANE_SWINDLER", "WIZARD"</t>
  </si>
  <si>
    <t>"DRUID", "SORCERER", "MAGICIAN", "OCCULT_KNIGHT", "ARCANE_SWINDLER", "WIZARD"</t>
  </si>
  <si>
    <t>"MAGICIAN", "OCCULT_KNIGHT", "ARCANE_SWINDLER", "WIZARD"</t>
  </si>
  <si>
    <t>"BARD", "SORCERER", "MAGICIAN", "OCCULT_KNIGHT", "ARCANE_SWINDLER"</t>
  </si>
  <si>
    <t>"MAGICIAN", "OCCULT_KNIGHT", "ARCANE_SWINDLER", "PROWLER"</t>
  </si>
  <si>
    <t>"MAGICIAN", "OCCULT_KNIGHT", "ARCANE_SWINDLER"</t>
  </si>
  <si>
    <t>"BARD", "MAGICIAN", "OCCULT_KNIGHT", "ARCANE_SWINDLER"</t>
  </si>
  <si>
    <t xml:space="preserve"> "MAGICIAN", "OCCULT_KNIGHT", "ARCANE_SWINDLER", "WIZARD"</t>
  </si>
  <si>
    <t>"DRUID", "SORCERER", "MAGICIAN", "OCCULT_KNIGHT", "ARCANE_SWINDLER", "PROWLER"</t>
  </si>
  <si>
    <t>"BARD", "DRUID", "SORCERER", "MAGICIAN", "OCCULT_KNIGHT", "ARCANE_SWINDLER"</t>
  </si>
  <si>
    <t>"CLERK", "MAGICIAN", "OCCULT_KNIGHT", "ARCANE_SWINDLER", "PALADIN", "WIZARD"</t>
  </si>
  <si>
    <t>"BARD", "MAGICIAN", "OCCULT_KNIGHT", "ARCANE_SWINDLER", "WIZARD"</t>
  </si>
  <si>
    <t>"BARD", "DRUID", "MAGICIAN", "OCCULT_KNIGHT", "ARCANE_SWINDLER"</t>
  </si>
  <si>
    <t xml:space="preserve"> "CLERK", "MAGICIAN", "OCCULT_KNIGHT", "ARCANE_SWINDLER"</t>
  </si>
  <si>
    <t>"BARD",  "CLERK", "DRUID", "SORCERER", "MAGICIAN", "OCCULT_KNIGHT", "ARCANE_SWINDLER", "WIZARD"</t>
  </si>
  <si>
    <t>"BARD",  "CLERK", "DRUID", "MAGICIAN", "OCCULT_KNIGHT", "ARCANE_SWINDLER", "PALADIN", "PROWLER"</t>
  </si>
  <si>
    <t>"DRUID", "MAGICIAN", "OCCULT_KNIGHT", "ARCANE_SWINDLER"</t>
  </si>
  <si>
    <t xml:space="preserve"> "CLERK", "MAGICIAN", "OCCULT_KNIGHT", "ARCANE_SWINDLER", "PALADIN", "WIZARD"</t>
  </si>
  <si>
    <t>"BARD",  "CLERK", "MAGICIAN", "OCCULT_KNIGHT", "ARCANE_SWINDLER"</t>
  </si>
  <si>
    <t>"BARD",  "CLERK", "SORCERER", "MAGICIAN", "OCCULT_KNIGHT", "ARCANE_SWINDLER", "WIZARD"</t>
  </si>
  <si>
    <t>"BARD",  "CLERK", "DRUID", "MAGICIAN", "OCCULT_KNIGHT", "ARCANE_SWINDLER"</t>
  </si>
  <si>
    <t>"BARD", "MAGICIAN", "OCCULT_KNIGHT", "ARCANE_SWINDLER", "PROWLER"</t>
  </si>
  <si>
    <t xml:space="preserve"> "CLERK", "SORCERER", "MAGICIAN", "OCCULT_KNIGHT", "ARCANE_SWINDLER", "PALADIN", "WIZARD"</t>
  </si>
  <si>
    <t xml:space="preserve"> "CLERK", "DRUID", "MAGICIAN", "OCCULT_KNIGHT", "ARCANE_SWINDLER"</t>
  </si>
  <si>
    <t>"BARD", "DRUID", "MAGICIAN", "OCCULT_KNIGHT", "ARCANE_SWINDLER", "WIZARD"</t>
  </si>
  <si>
    <t>"BARD",  "CLERK", "DRUID", "MAGICIAN", "OCCULT_KNIGHT", "ARCANE_SWINDLER", "PALADIN"</t>
  </si>
  <si>
    <t>"BARD",  "CLERK", "DRUID", "MAGICIAN", "OCCULT_KNIGHT", "ARCANE_SWINDLER", "WIZARD"</t>
  </si>
  <si>
    <t xml:space="preserve"> "CLERK", "MAGICIAN", "OCCULT_KNIGHT", "ARCANE_SWINDLER", "WIZARD"</t>
  </si>
  <si>
    <t xml:space="preserve"> "CLERK", "DRUID", "SORCERER", "MAGICIAN", "OCCULT_KNIGHT", "ARCANE_SWINDLER", "WIZARD"</t>
  </si>
  <si>
    <t xml:space="preserve"> "CLERK", "SORCERER", "MAGICIAN", "OCCULT_KNIGHT", "ARCANE_SWINDLER"</t>
  </si>
  <si>
    <t>"Parade de projectiles", "Tradition monastique"</t>
  </si>
  <si>
    <t>Au niveau 1, vous avez conclu un marché avec un être d'Outremonde de votre choix : l'archifée, le fiélon ou le Grand Ancien. Celui-ci vous accorde des faveurs au niveau 1 puis aux niveaux 6, 10 et 14.</t>
  </si>
  <si>
    <t>Invocations occultes</t>
  </si>
  <si>
    <t>Durant vos recherches, vous avez exhumé des invocations occultes, fragments d’un savoir interdit qui vous confère une capacité magique permanente.
Au niveau 2, vous gagnez deux invocations occultes de votre choix. Les invocations sont présentées à la fin de la description de cette classe. Lorsque vous gagnez certains niveaux de sorcier, vous gagnez d’autres invocations de votre choix, comme indiqué dans la table ci-dessus. En outre, lorsque vous gagnez un niveau dans cette classe, vous pouvez choisir de remplacer une invocation déjà connue par une autre que vous pouvez apprendre à ce niveau.</t>
  </si>
  <si>
    <t>Magie de pacte</t>
  </si>
  <si>
    <t>Vos recherches arcaniques et la magie qui vous est conférée par votre patron vous ont donné des facilités avec les sorts.</t>
  </si>
  <si>
    <t>Sous Race</t>
  </si>
  <si>
    <t>Souffle sans fin</t>
  </si>
  <si>
    <t>Vous pouvez retenir votre respiration indéfiniment tant que vous n’êtes pas incapable d'agir.</t>
  </si>
  <si>
    <t>Se mêler au vent</t>
  </si>
  <si>
    <t>Vous pouvez lancer le sort lévitation une fois, sans composante matérielle, et vous regagnez la capacité de le relancer ainsi après un repos long. La Constitution est votre caractéristique d'incantation pour ce sort.</t>
  </si>
  <si>
    <t>Marche de la terre</t>
  </si>
  <si>
    <t>Vous pouvez vous déplacer sur des terrains difficiles faits de pierre ou de terre sans dépenser de mouvement supplémentaire.</t>
  </si>
  <si>
    <t>Fusionner avec la pierre</t>
  </si>
  <si>
    <t>Vous pouvez lancer le sort passage sans trace une fois, sans composante matérielle, et vous regagnez la capacité de le relancer ainsi après un repos long. La Constitution est votre caractéristique d'incantation pour ce sort.</t>
  </si>
  <si>
    <t>Résistance au feu</t>
  </si>
  <si>
    <t>Atteindre le brasier</t>
  </si>
  <si>
    <t>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t>
  </si>
  <si>
    <t>Vous avez la résistance aux dégâts de feu.</t>
  </si>
  <si>
    <t>Niveau requis</t>
  </si>
  <si>
    <t>Résistance à l’acide</t>
  </si>
  <si>
    <t>Vous avez la résistance aux dégâts d’acide.</t>
  </si>
  <si>
    <t>Amphibien</t>
  </si>
  <si>
    <t>Vous pouvez respirer aussi bien dans l'air que sous l'eau.</t>
  </si>
  <si>
    <t>Nage</t>
  </si>
  <si>
    <t>Votre vitesse de nage est de 9 mètres.</t>
  </si>
  <si>
    <t>Appeler la vague</t>
  </si>
  <si>
    <t>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t>
  </si>
  <si>
    <t>Vous pouvez voir à 18 mètres dans une lumière faible comme vous verriez avec une lumière vive, et dans le noir comme vous verriez avec une lumière faible. Dans le noir, vous ne discernez pas les couleurs, uniquement des nuances de gris.</t>
  </si>
  <si>
    <t>Sens aiguisés</t>
  </si>
  <si>
    <t>Vous maîtrisez la compétence Perception.</t>
  </si>
  <si>
    <t>Ascendance féerique</t>
  </si>
  <si>
    <t>Vous avez un avantage aux jets de sauvegarde contre les effets de charme et la magie ne peut pas vous endormir.</t>
  </si>
  <si>
    <t>Transe</t>
  </si>
  <si>
    <t>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t>
  </si>
  <si>
    <t>Cachette naturelle</t>
  </si>
  <si>
    <t>Vous pouvez tenter de vous cacher dans une zone à visibilité réduite, comme en présence de branchages, de forte pluie, de neige qui tombe, de brume ou autre phénomène naturel.</t>
  </si>
  <si>
    <t>Vision dans le noir supérieure</t>
  </si>
  <si>
    <t>Votre vision dans le noir est étendue à 36 mètres.</t>
  </si>
  <si>
    <t>Sensibilité à la lumière du soleil</t>
  </si>
  <si>
    <t>Vous avez un désavantage aux jets d'attaque et aux jets de Sagesse (Perception) basés sur ​​la vue quand vous, la cible de l'attaque ou ce que vous essayez de détecter est exposé à la lumière du soleil.</t>
  </si>
  <si>
    <t>Magie drow</t>
  </si>
  <si>
    <t>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t>
  </si>
  <si>
    <t>Vous obtenez la maîtrise des rapières, des épées courtes et des arbalètes de poing</t>
  </si>
  <si>
    <t>Entraînement aux armes elfiques</t>
  </si>
  <si>
    <t>Vous obtenez la maîtrise des épées (longues et courtes) et des arcs (longs et courts).</t>
  </si>
  <si>
    <t>Armes</t>
  </si>
  <si>
    <t>"Rapière", "Épée courte", "Arbalète de poing"</t>
  </si>
  <si>
    <t>"Épée courte", "Épée longue", "Arc court", "Arc long"</t>
  </si>
  <si>
    <t>Chanceux</t>
  </si>
  <si>
    <t>Lorsque vous obtenez un 1 au dé d'un jet d'attaque, de caractéristique ou de sauvegarde, vous pouvez relancer le dé et devez alors utiliser ce nouveau résultat.</t>
  </si>
  <si>
    <t>Vaillant</t>
  </si>
  <si>
    <t>Vous avez un avantage aux jets de sauvegarde pour ne pas être effrayé.</t>
  </si>
  <si>
    <t>Agilité halfeline</t>
  </si>
  <si>
    <t>Vous pouvez passer dans l'espace de toute créature d'une taille supérieure à la vôtre</t>
  </si>
  <si>
    <t>Discrétion naturelle</t>
  </si>
  <si>
    <t>Vous pouvez tenter de vous cacher si vous vous trouvez derrière une créature d'une taille supérieure à la vôtre.</t>
  </si>
  <si>
    <t>Résistance des robustes</t>
  </si>
  <si>
    <t>Vous obtenez un avantage aux jets de sauvegarde contre le poison et la résistance contre les dégâts de poison.</t>
  </si>
  <si>
    <t>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t>
  </si>
  <si>
    <t>Résistance naine</t>
  </si>
  <si>
    <t>Vous avez un avantage aux jets de sauvegarde contre le poison et obtenez la résistance contre les dégâts de poison.</t>
  </si>
  <si>
    <t>Entraînement aux armes naines</t>
  </si>
  <si>
    <t>Vous obtenez la maîtrise des hachettes, des haches d'armes, des marteaux légers et des marteaux de guerre.</t>
  </si>
  <si>
    <t>"Hachette", "Hache d'armes", "Marteau léger", "Marteau de guerre"</t>
  </si>
  <si>
    <t>Maîtrise des outils</t>
  </si>
  <si>
    <t>Vous obtenez la maîtrise d'un des outils d'artisan suivant au choix : outils de forgeron, outils de brasseur ou outils de maçon.</t>
  </si>
  <si>
    <t>Connaissance de la pierre</t>
  </si>
  <si>
    <t>Chaque fois que vous effectuez un jet d'Intelligence (Histoire) en relation avec l'origine d'un travail lié à la pierre, considérez que vous maîtrisez la compétence Histoire et ajoutez le double de votre bonus de maîtrise au jet, au lieu du bonus de maîtrise normal.</t>
  </si>
  <si>
    <t>Robustesse naine</t>
  </si>
  <si>
    <t>Vos points de vie maximums augmentent de 1 à chaque niveau.</t>
  </si>
  <si>
    <t>Formation au port des armures naines</t>
  </si>
  <si>
    <t>Vous maîtrisez les armures légères et intermédiaires.</t>
  </si>
  <si>
    <t>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</si>
  <si>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Polyvalence</t>
  </si>
  <si>
    <t>Vous gagnez la maîtrise de deux compétences de votre choix.</t>
  </si>
  <si>
    <t>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</si>
  <si>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Menaçant</t>
  </si>
  <si>
    <t>Vous gagnez la maîtrise de la compétence Intimidation.</t>
  </si>
  <si>
    <t>Endurance implacable</t>
  </si>
  <si>
    <t>Lorsque vous tombez à 0 point de vie, mais que vous n'êtes pas tué sur le coup, vous pouvez passer à 1 point de vie à la place. Vous devez terminer un repos long avant de pouvoir utiliser cette capacité de nouveau.</t>
  </si>
  <si>
    <t>Attaques sauvages</t>
  </si>
  <si>
    <t>Lorsque vous réalisez un coup critique lors d'une attaque au corps à corps avec une arme, vous pouvez jeter l'un des dés de dégâts de l'arme une deuxième fois et l'ajouter aux dégâts supplémentaires du coup critique.</t>
  </si>
  <si>
    <t>Souffle</t>
  </si>
  <si>
    <t>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t>
  </si>
  <si>
    <t>Résistance aux dégâts</t>
  </si>
  <si>
    <t>Vous obtenez la résistance au type de dégâts associé à votre ascendance draconique.</t>
  </si>
  <si>
    <t>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</si>
  <si>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Ruse gnome</t>
  </si>
  <si>
    <t>Vous avez un avantage aux jets de sauvegarde d'Intelligence, de Sagesse et de Charisme contre la magie.</t>
  </si>
  <si>
    <t>Illusionniste-né</t>
  </si>
  <si>
    <t>Vous connaissez le sort mineur illusion mineure. L'Intelligence est votre caractéristique d'incantation pour ce sort.</t>
  </si>
  <si>
    <t>Communication avec les petits animaux</t>
  </si>
  <si>
    <t>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t>
  </si>
  <si>
    <t>Connaissance en ingénierie</t>
  </si>
  <si>
    <t>Chaque fois que vous effectuez un jet d'Intelligence (Histoire) en relation avec l'alchimie, des objets magiques ou des dispositifs technologiques, ajoutez le double de votre bonus de maîtrise au jet, au lieu du bonus de maîtrise normal.</t>
  </si>
  <si>
    <t>Bricoleur</t>
  </si>
  <si>
    <t>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t>
  </si>
  <si>
    <t>Votre vision dans le noir a une portée de 36 mètres.</t>
  </si>
  <si>
    <t>Vous avez l'avantage aux jets de sauvegarde d'Intelligence, de Sagesse et de Charisme contre la magie.</t>
  </si>
  <si>
    <t>Teint pierreux</t>
  </si>
  <si>
    <t>Vous avez l'avantage aux jets de Dextérité (Discrétion) pour vous cacher sur un terrain rocheux.</t>
  </si>
  <si>
    <t>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</si>
  <si>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Résistance infernale</t>
  </si>
  <si>
    <t>Ascendance infernale</t>
  </si>
  <si>
    <t>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t>
  </si>
  <si>
    <t>Vous avez une vitesse de vol de 15 mètres par round. Pour utiliser cette vitesse, vous ne devez par porter d'armure moyenne ou lourde.</t>
  </si>
  <si>
    <t>Serre</t>
  </si>
  <si>
    <t>Vous maîtrisez vos armes naturelles, lesquelles infligent 1d4 de dégâts tranchants.</t>
  </si>
  <si>
    <t>Athlète naturel</t>
  </si>
  <si>
    <t>Vous maîtrisez la compétence Athlétisme.</t>
  </si>
  <si>
    <t>Endurance de la pierre</t>
  </si>
  <si>
    <t>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t>
  </si>
  <si>
    <t>Puissamment bâtit</t>
  </si>
  <si>
    <t>Vous comptez comme étant plus grand d'une taille pour déterminer votre capacité de charge et le poids que vous pouvez pousser, traîner ou soulever.</t>
  </si>
  <si>
    <t>Vous êtes habitué aux hautes altitudes, y compris des altitudes supérieures à 6000 mètres. Vous êtes aussi naturellement habitué aux climats froids, comme décrit dans le chapitre 5 du Guide du Maître.</t>
  </si>
  <si>
    <t>Montagnard</t>
  </si>
  <si>
    <t>Entraînement aux armes drows</t>
  </si>
  <si>
    <t>"CHARM"</t>
  </si>
  <si>
    <t>Aveuglé</t>
  </si>
  <si>
    <t>Assourdi</t>
  </si>
  <si>
    <t>Agrippé</t>
  </si>
  <si>
    <t>Entravé</t>
  </si>
  <si>
    <t>Pétrifié</t>
  </si>
  <si>
    <t>Étourdi</t>
  </si>
  <si>
    <t>"3_HEAVY"</t>
  </si>
  <si>
    <t>Armures exclus du bonus mouvement</t>
  </si>
  <si>
    <t>"1_LIGHT", "2_MID", "3_HEAVY"</t>
  </si>
  <si>
    <t>Marchandises</t>
  </si>
  <si>
    <t>WARES</t>
  </si>
  <si>
    <t>0 pc</t>
  </si>
  <si>
    <t>Babioles</t>
  </si>
  <si>
    <t>TRINKETS</t>
  </si>
  <si>
    <t>Créature </t>
  </si>
  <si>
    <t>VO </t>
  </si>
  <si>
    <t>FP </t>
  </si>
  <si>
    <t>Type </t>
  </si>
  <si>
    <t>Taille </t>
  </si>
  <si>
    <t>CA </t>
  </si>
  <si>
    <t>pv </t>
  </si>
  <si>
    <t>Vitesse </t>
  </si>
  <si>
    <t>Alignement </t>
  </si>
  <si>
    <t>Légendaire </t>
  </si>
  <si>
    <t>Humanoïde (aarakocra)</t>
  </si>
  <si>
    <t>M</t>
  </si>
  <si>
    <t>vol</t>
  </si>
  <si>
    <t>neutre bon</t>
  </si>
  <si>
    <t>Abishaï blanc</t>
  </si>
  <si>
    <t>White Abishai</t>
  </si>
  <si>
    <t>Fiélon (diable)</t>
  </si>
  <si>
    <t>loyal mauvais</t>
  </si>
  <si>
    <t>Abishaï bleu</t>
  </si>
  <si>
    <t>Blue Abishai</t>
  </si>
  <si>
    <t>Abishaï noir</t>
  </si>
  <si>
    <t>Black Abishai</t>
  </si>
  <si>
    <t>Abishaï rouge</t>
  </si>
  <si>
    <t>Red Abishai</t>
  </si>
  <si>
    <t>Abishaï vert</t>
  </si>
  <si>
    <t>Green Abishai</t>
  </si>
  <si>
    <t>Abjurateur</t>
  </si>
  <si>
    <t>Abjurer</t>
  </si>
  <si>
    <t>Humanoïde (toute race)</t>
  </si>
  <si>
    <t>tout alignement</t>
  </si>
  <si>
    <t>Aboleth</t>
  </si>
  <si>
    <t>Aberration</t>
  </si>
  <si>
    <t>G</t>
  </si>
  <si>
    <t>nage</t>
  </si>
  <si>
    <t>Légendaire</t>
  </si>
  <si>
    <t>Acérérak</t>
  </si>
  <si>
    <t>Acererak</t>
  </si>
  <si>
    <t>Mort-vivant</t>
  </si>
  <si>
    <t>neutre mauvais</t>
  </si>
  <si>
    <t>Aeorien, absorbeur</t>
  </si>
  <si>
    <t>Aeorian Absorber</t>
  </si>
  <si>
    <t>Créature monstrueuse</t>
  </si>
  <si>
    <t>Aeorien, inverseur</t>
  </si>
  <si>
    <t>Aeorian Reverser</t>
  </si>
  <si>
    <t>Aeorien, neutraliseur</t>
  </si>
  <si>
    <t>Aeorian Nullifier</t>
  </si>
  <si>
    <t>Aigle</t>
  </si>
  <si>
    <t>Eagle</t>
  </si>
  <si>
    <t>Bête</t>
  </si>
  <si>
    <t>P</t>
  </si>
  <si>
    <t>sans alignement</t>
  </si>
  <si>
    <t>Aigle géant</t>
  </si>
  <si>
    <t>Giant Eagle</t>
  </si>
  <si>
    <t>Alhoon</t>
  </si>
  <si>
    <t>tout alignement mauvais</t>
  </si>
  <si>
    <t>Alkilith</t>
  </si>
  <si>
    <t>Fiélon (démon)</t>
  </si>
  <si>
    <t>chaotique mauvais</t>
  </si>
  <si>
    <t>Allip</t>
  </si>
  <si>
    <t>Allosaure</t>
  </si>
  <si>
    <t>Allosaurus</t>
  </si>
  <si>
    <t>Âme en peine</t>
  </si>
  <si>
    <t>Wraith</t>
  </si>
  <si>
    <t>Amnizu</t>
  </si>
  <si>
    <t>Androsphinx</t>
  </si>
  <si>
    <t>loyal neutre</t>
  </si>
  <si>
    <t>Ankheg</t>
  </si>
  <si>
    <t>Ankylosaure</t>
  </si>
  <si>
    <t>Ankylosaurus</t>
  </si>
  <si>
    <t>TG</t>
  </si>
  <si>
    <t>Apprenti magicien</t>
  </si>
  <si>
    <t>Apprentice Wizard</t>
  </si>
  <si>
    <t>Araignée</t>
  </si>
  <si>
    <t>Spider</t>
  </si>
  <si>
    <t>TP</t>
  </si>
  <si>
    <t>Araignée de monte, femelle</t>
  </si>
  <si>
    <t>Female Steeder</t>
  </si>
  <si>
    <t>Araignée de monte, mâle</t>
  </si>
  <si>
    <t>Male Steeder</t>
  </si>
  <si>
    <t>Araignée de phase</t>
  </si>
  <si>
    <t>Phase Spider</t>
  </si>
  <si>
    <t>Araignée géante</t>
  </si>
  <si>
    <t>Giant Spider</t>
  </si>
  <si>
    <t>Araignée-loup géante</t>
  </si>
  <si>
    <t>Giant Wolf Spider</t>
  </si>
  <si>
    <t>Arbre éveillé</t>
  </si>
  <si>
    <t>Awakened Tree</t>
  </si>
  <si>
    <t>Plante</t>
  </si>
  <si>
    <t>Arbre infecté</t>
  </si>
  <si>
    <t>Tree Blight</t>
  </si>
  <si>
    <t>Arbuste éveillé</t>
  </si>
  <si>
    <t>Awakened Shrub</t>
  </si>
  <si>
    <t>Arcanaloth</t>
  </si>
  <si>
    <t>Fiélon (yugoloth)</t>
  </si>
  <si>
    <t>Archer</t>
  </si>
  <si>
    <t>Archdruid</t>
  </si>
  <si>
    <t>Archimage</t>
  </si>
  <si>
    <t>Archmage</t>
  </si>
  <si>
    <t>Armanite</t>
  </si>
  <si>
    <t>Armure animée</t>
  </si>
  <si>
    <t>Animated Armor</t>
  </si>
  <si>
    <t>Créature artificielle</t>
  </si>
  <si>
    <t>tout alignement non bon</t>
  </si>
  <si>
    <t>Aurochs</t>
  </si>
  <si>
    <t>Automate, cobra de fer</t>
  </si>
  <si>
    <t>Iron Cobra</t>
  </si>
  <si>
    <t>Avatar de la mort</t>
  </si>
  <si>
    <t>Avatar of Death</t>
  </si>
  <si>
    <t>Azer</t>
  </si>
  <si>
    <t>Élémentaire</t>
  </si>
  <si>
    <t>Babau</t>
  </si>
  <si>
    <t>Babélien</t>
  </si>
  <si>
    <t>Gibbering Mouther</t>
  </si>
  <si>
    <t>neutre</t>
  </si>
  <si>
    <t>Babouin</t>
  </si>
  <si>
    <t>Baboon</t>
  </si>
  <si>
    <t>Badîan</t>
  </si>
  <si>
    <t>Humanoïde (nain des montagnes)</t>
  </si>
  <si>
    <t>Bael</t>
  </si>
  <si>
    <t>Baiser de la mort</t>
  </si>
  <si>
    <t>Death Kiss</t>
  </si>
  <si>
    <t>Balhannoth</t>
  </si>
  <si>
    <t>Balor</t>
  </si>
  <si>
    <t>Banderhobb</t>
  </si>
  <si>
    <t>Bandit</t>
  </si>
  <si>
    <t>tout alignement non loyal</t>
  </si>
  <si>
    <t>Bandit, capitaine</t>
  </si>
  <si>
    <t>Bandit Captain</t>
  </si>
  <si>
    <t>Banshie</t>
  </si>
  <si>
    <t>Banshee</t>
  </si>
  <si>
    <t>Baphomet</t>
  </si>
  <si>
    <t>Barghest</t>
  </si>
  <si>
    <t>Fiélon (métamorphe)</t>
  </si>
  <si>
    <t>Barlgura</t>
  </si>
  <si>
    <t>Basilic</t>
  </si>
  <si>
    <t>Basilisk</t>
  </si>
  <si>
    <t>Basilic, swavien</t>
  </si>
  <si>
    <t>Swavain Basilisk</t>
  </si>
  <si>
    <t>Bec de hache</t>
  </si>
  <si>
    <t>Axe Beak</t>
  </si>
  <si>
    <t>Béhir</t>
  </si>
  <si>
    <t>Behir</t>
  </si>
  <si>
    <t>Belaphoss</t>
  </si>
  <si>
    <t>Belashyrra</t>
  </si>
  <si>
    <t>Belette</t>
  </si>
  <si>
    <t>Weasel</t>
  </si>
  <si>
    <t>Belette géante</t>
  </si>
  <si>
    <t>Giant Weasel</t>
  </si>
  <si>
    <t>Berbalang</t>
  </si>
  <si>
    <t>Berserker</t>
  </si>
  <si>
    <t>tout alignement chaotique</t>
  </si>
  <si>
    <t>Bête des marais</t>
  </si>
  <si>
    <t>Moorbounder</t>
  </si>
  <si>
    <t>Bête des marais hérissée</t>
  </si>
  <si>
    <t>Bristled Moorbounder</t>
  </si>
  <si>
    <t>Bête éclipsante</t>
  </si>
  <si>
    <t>Displacer Beast</t>
  </si>
  <si>
    <t>Blaireau</t>
  </si>
  <si>
    <t>Badger</t>
  </si>
  <si>
    <t>Blaireau géant</t>
  </si>
  <si>
    <t>Giant Badger</t>
  </si>
  <si>
    <t>Blarks</t>
  </si>
  <si>
    <t>Humanoïde (humain)</t>
  </si>
  <si>
    <t>chaotique neutre</t>
  </si>
  <si>
    <t>Blême</t>
  </si>
  <si>
    <t>Ghast</t>
  </si>
  <si>
    <t>Blême de l'ombre</t>
  </si>
  <si>
    <t>Shadowghast</t>
  </si>
  <si>
    <t>Bodak</t>
  </si>
  <si>
    <t>Boiseux</t>
  </si>
  <si>
    <t>Wood Woad</t>
  </si>
  <si>
    <t>Bonnet-rouge</t>
  </si>
  <si>
    <t>Redcap</t>
  </si>
  <si>
    <t>Fée</t>
  </si>
  <si>
    <t>Bretteur</t>
  </si>
  <si>
    <t>Swashbuckler</t>
  </si>
  <si>
    <t>Brume vampirique</t>
  </si>
  <si>
    <t>Vampiric Mist</t>
  </si>
  <si>
    <t>Brutacien</t>
  </si>
  <si>
    <t>Bullywug</t>
  </si>
  <si>
    <t>Humanoïde (brutacien)</t>
  </si>
  <si>
    <t>Buisson infecté</t>
  </si>
  <si>
    <t>Twig Blight</t>
  </si>
  <si>
    <t>Bulette</t>
  </si>
  <si>
    <t>Bulezau</t>
  </si>
  <si>
    <t>Cambion</t>
  </si>
  <si>
    <t>Canoloth</t>
  </si>
  <si>
    <t>Catoblépas</t>
  </si>
  <si>
    <t>Catoblepas</t>
  </si>
  <si>
    <t>Centaure</t>
  </si>
  <si>
    <t>Centaur</t>
  </si>
  <si>
    <t>Cerf</t>
  </si>
  <si>
    <t>Deer</t>
  </si>
  <si>
    <t>Cerveau, vénérable</t>
  </si>
  <si>
    <t>Elder Brain</t>
  </si>
  <si>
    <t>Chacal</t>
  </si>
  <si>
    <t>Jackal</t>
  </si>
  <si>
    <t>Chacalidé</t>
  </si>
  <si>
    <t>Jackalwere</t>
  </si>
  <si>
    <t>Humanoïde (métamorphe)</t>
  </si>
  <si>
    <t>Camel</t>
  </si>
  <si>
    <t>Changelin</t>
  </si>
  <si>
    <t>Changeling</t>
  </si>
  <si>
    <t>Humanoïde (changelin, métamorphe)</t>
  </si>
  <si>
    <t>Charognard rampant</t>
  </si>
  <si>
    <t>Carrion Crawler</t>
  </si>
  <si>
    <t>Chasme</t>
  </si>
  <si>
    <t>Chasseur sanguinaire</t>
  </si>
  <si>
    <t>Blood Hunter</t>
  </si>
  <si>
    <t>Chat</t>
  </si>
  <si>
    <t>Cat</t>
  </si>
  <si>
    <t>Chauve-souris</t>
  </si>
  <si>
    <t>Bat</t>
  </si>
  <si>
    <t>Chauve-souris géante</t>
  </si>
  <si>
    <t>Giant Bat</t>
  </si>
  <si>
    <t>Warhorse</t>
  </si>
  <si>
    <t>Cheval de guerre squelette</t>
  </si>
  <si>
    <t>Warhorse Skeleton</t>
  </si>
  <si>
    <t>Riding Horse</t>
  </si>
  <si>
    <t>Draft Horse</t>
  </si>
  <si>
    <t>Chevalier</t>
  </si>
  <si>
    <t>Knight</t>
  </si>
  <si>
    <t>Chevalier de la mort</t>
  </si>
  <si>
    <t>Death Knight</t>
  </si>
  <si>
    <t>Chevalier noir</t>
  </si>
  <si>
    <t>Blackguard</t>
  </si>
  <si>
    <t>Chevalier osseux</t>
  </si>
  <si>
    <t>Bone Knight</t>
  </si>
  <si>
    <t>Chèvre</t>
  </si>
  <si>
    <t>Goat</t>
  </si>
  <si>
    <t>Chèvre géante</t>
  </si>
  <si>
    <t>Giant Goat</t>
  </si>
  <si>
    <t>Chèvre géante à deux têtes</t>
  </si>
  <si>
    <t>Giant Two-Headed Goat</t>
  </si>
  <si>
    <t>Chien du trépas</t>
  </si>
  <si>
    <t>Death Dog</t>
  </si>
  <si>
    <t>Chien esquiveur</t>
  </si>
  <si>
    <t>Blink Dog</t>
  </si>
  <si>
    <t>loyal bon</t>
  </si>
  <si>
    <t>Chien sauvage</t>
  </si>
  <si>
    <t>Wild Dog</t>
  </si>
  <si>
    <t>Chien sauvage dominant</t>
  </si>
  <si>
    <t>Wild Dog Alpha</t>
  </si>
  <si>
    <t>Chimère</t>
  </si>
  <si>
    <t>Chimera</t>
  </si>
  <si>
    <t>Chitine</t>
  </si>
  <si>
    <t>Choldrith</t>
  </si>
  <si>
    <t>Chouette</t>
  </si>
  <si>
    <t>Owl</t>
  </si>
  <si>
    <t>Chouette géante</t>
  </si>
  <si>
    <t>Giant Owl</t>
  </si>
  <si>
    <t>Chuul</t>
  </si>
  <si>
    <t>Cockatrice</t>
  </si>
  <si>
    <t>Combattant (niv 1)</t>
  </si>
  <si>
    <t>Warrior (lvl 1)</t>
  </si>
  <si>
    <t>Combattant (niv 2)</t>
  </si>
  <si>
    <t>Warrior (lvl 2)</t>
  </si>
  <si>
    <t>Combattant (niv 3)</t>
  </si>
  <si>
    <t>Warrior (lvl 3)</t>
  </si>
  <si>
    <t>Combattant (niv 4)</t>
  </si>
  <si>
    <t>Warrior (lvl 4)</t>
  </si>
  <si>
    <t>Combattant (niv 5)</t>
  </si>
  <si>
    <t>Warrior (lvl 5)</t>
  </si>
  <si>
    <t>Combattant (niv 6)</t>
  </si>
  <si>
    <t>Warrior (lvl 6)</t>
  </si>
  <si>
    <t>Consul de fer</t>
  </si>
  <si>
    <t>Iron Consul</t>
  </si>
  <si>
    <t>Corbeau</t>
  </si>
  <si>
    <t>Raven</t>
  </si>
  <si>
    <t>Corbeau-garou</t>
  </si>
  <si>
    <t>Wereraven</t>
  </si>
  <si>
    <t>Humanoïde (humain, métamorphe)</t>
  </si>
  <si>
    <t>Couatl</t>
  </si>
  <si>
    <t>Courseur</t>
  </si>
  <si>
    <t>Fastieth</t>
  </si>
  <si>
    <t>Crabe</t>
  </si>
  <si>
    <t>Crab</t>
  </si>
  <si>
    <t>Crabe géant</t>
  </si>
  <si>
    <t>Giant Crab</t>
  </si>
  <si>
    <t>Crabe-pêcheur</t>
  </si>
  <si>
    <t>Cave Fisher</t>
  </si>
  <si>
    <t>Crânefeu</t>
  </si>
  <si>
    <t>Flameskull</t>
  </si>
  <si>
    <t>Crapaud géant</t>
  </si>
  <si>
    <t>Giant Toad</t>
  </si>
  <si>
    <t>Criard</t>
  </si>
  <si>
    <t>Shrieker</t>
  </si>
  <si>
    <t>Crocodile</t>
  </si>
  <si>
    <t>Crocodile géant</t>
  </si>
  <si>
    <t>Giant Crocodile</t>
  </si>
  <si>
    <t>Crokek'toeck</t>
  </si>
  <si>
    <t>Gig</t>
  </si>
  <si>
    <t>Croque-mitaine</t>
  </si>
  <si>
    <t>Boggle</t>
  </si>
  <si>
    <t>Cube gélatineux</t>
  </si>
  <si>
    <t>Gelatinous Cube</t>
  </si>
  <si>
    <t>Vase</t>
  </si>
  <si>
    <t>Cuirassier astral</t>
  </si>
  <si>
    <t>Astral Dreadnought</t>
  </si>
  <si>
    <t>Créature monstrueuse (titan)</t>
  </si>
  <si>
    <t>Cultiste</t>
  </si>
  <si>
    <t>Cultist</t>
  </si>
  <si>
    <t>Cyclope</t>
  </si>
  <si>
    <t>Cyclops</t>
  </si>
  <si>
    <t>Dame Malmoelle</t>
  </si>
  <si>
    <t>Lady Illmarrow</t>
  </si>
  <si>
    <t>Humanoïde (forgelier)</t>
  </si>
  <si>
    <t>Dao</t>
  </si>
  <si>
    <t>Dauphin</t>
  </si>
  <si>
    <t>Dolphin</t>
  </si>
  <si>
    <t>Demi-dragon rouge, vétéran</t>
  </si>
  <si>
    <t>Half-Red Dragon Veteran</t>
  </si>
  <si>
    <t>Demi-liche</t>
  </si>
  <si>
    <t>Demilich</t>
  </si>
  <si>
    <t>Demi-ogre</t>
  </si>
  <si>
    <t>Half-Ogre</t>
  </si>
  <si>
    <t>Démogorgon</t>
  </si>
  <si>
    <t>Demogorgon</t>
  </si>
  <si>
    <t>Démon des ombres</t>
  </si>
  <si>
    <t>Shadow Demon</t>
  </si>
  <si>
    <t>Démon glouton</t>
  </si>
  <si>
    <t>Maw Demon</t>
  </si>
  <si>
    <t>Derro</t>
  </si>
  <si>
    <t>Humanoïde (derro)</t>
  </si>
  <si>
    <t>Derro, savant</t>
  </si>
  <si>
    <t>Derro Savant</t>
  </si>
  <si>
    <t>Deslor</t>
  </si>
  <si>
    <t>Destrier noir</t>
  </si>
  <si>
    <t>Nightmare</t>
  </si>
  <si>
    <t>Déva</t>
  </si>
  <si>
    <t>Deva</t>
  </si>
  <si>
    <t>Devin</t>
  </si>
  <si>
    <t>Diviner</t>
  </si>
  <si>
    <t>Dévoreur d'âme</t>
  </si>
  <si>
    <t>Devourer</t>
  </si>
  <si>
    <t>Dévoreur d'intellect</t>
  </si>
  <si>
    <t>Intellect Devourer</t>
  </si>
  <si>
    <t>Dhergoloth</t>
  </si>
  <si>
    <t>Diable à chaînes</t>
  </si>
  <si>
    <t>Chain Devil</t>
  </si>
  <si>
    <t>Diable barbelé</t>
  </si>
  <si>
    <t>Barbed Devil</t>
  </si>
  <si>
    <t>Diable barbu</t>
  </si>
  <si>
    <t>Bearded Devil</t>
  </si>
  <si>
    <t>Diable cornu</t>
  </si>
  <si>
    <t>Horned Devil</t>
  </si>
  <si>
    <t>Diable épineux</t>
  </si>
  <si>
    <t>Spined Devil</t>
  </si>
  <si>
    <t>Diable gelé</t>
  </si>
  <si>
    <t>Ice Devil</t>
  </si>
  <si>
    <t>Diable osseux</t>
  </si>
  <si>
    <t>Bone Devil</t>
  </si>
  <si>
    <t>Diablotin</t>
  </si>
  <si>
    <t>Imp</t>
  </si>
  <si>
    <t>Fiélon (diable, métamorphe)</t>
  </si>
  <si>
    <t>Diantrefosse</t>
  </si>
  <si>
    <t>Pit Fiend</t>
  </si>
  <si>
    <t>Djinn</t>
  </si>
  <si>
    <t>Djinni</t>
  </si>
  <si>
    <t>chaotique bon</t>
  </si>
  <si>
    <t>Dolgonte</t>
  </si>
  <si>
    <t>Dolgaunt</t>
  </si>
  <si>
    <t>Dolgrime</t>
  </si>
  <si>
    <t>Dolgrim</t>
  </si>
  <si>
    <t>Doppelganger</t>
  </si>
  <si>
    <t>Créature monstrueuse (métamorphe)</t>
  </si>
  <si>
    <t>Dracoliche bleue, adulte</t>
  </si>
  <si>
    <t>Adult Blue Dracolich</t>
  </si>
  <si>
    <t>Draegloth</t>
  </si>
  <si>
    <t>Dragon blanc, adulte</t>
  </si>
  <si>
    <t>Adult White Dragon</t>
  </si>
  <si>
    <t>Dragon</t>
  </si>
  <si>
    <t>vol, nage</t>
  </si>
  <si>
    <t>Dragon blanc, ancien</t>
  </si>
  <si>
    <t>Ancient White Dragon</t>
  </si>
  <si>
    <t>Dragon blanc, jeune</t>
  </si>
  <si>
    <t>Young White Dragon</t>
  </si>
  <si>
    <t>Dragon blanc, nouveau-né</t>
  </si>
  <si>
    <t>White Dragon Wyrmling</t>
  </si>
  <si>
    <t>Dragon bleu, adulte</t>
  </si>
  <si>
    <t>Adult Blue Dragon</t>
  </si>
  <si>
    <t>Dragon bleu, ancien</t>
  </si>
  <si>
    <t>Ancient Blue Dragon</t>
  </si>
  <si>
    <t>Dragon bleu, jeune</t>
  </si>
  <si>
    <t>Young Blue Dragon</t>
  </si>
  <si>
    <t>Dragon bleu, nouveau-né</t>
  </si>
  <si>
    <t>Blue Dragon Wyrmling</t>
  </si>
  <si>
    <t>Dragon d'airain, adulte</t>
  </si>
  <si>
    <t>Adult Brass Dragon</t>
  </si>
  <si>
    <t>Dragon d'airain, ancien</t>
  </si>
  <si>
    <t>Ancient Brass Dragon</t>
  </si>
  <si>
    <t>Dragon d'airain, jeune</t>
  </si>
  <si>
    <t>Young Brass Dragon</t>
  </si>
  <si>
    <t>Dragon d'airain, nouveau-né</t>
  </si>
  <si>
    <t>Brass Dragon Wyrmling</t>
  </si>
  <si>
    <t>Dragon d'argent, adulte</t>
  </si>
  <si>
    <t>Adult Silver Dragon</t>
  </si>
  <si>
    <t>Dragon d'argent, ancien</t>
  </si>
  <si>
    <t>Ancient Silver Dragon</t>
  </si>
  <si>
    <t>Dragon d'argent, jeune</t>
  </si>
  <si>
    <t>Young Silver Dragon</t>
  </si>
  <si>
    <t>Dragon d'argent, nouveau-né</t>
  </si>
  <si>
    <t>Silver Dragon Wyrmling</t>
  </si>
  <si>
    <t>Dragon d'ombre rouge, jeune</t>
  </si>
  <si>
    <t>Young Red Shadow Dragon</t>
  </si>
  <si>
    <t>Dragon d'or, adulte</t>
  </si>
  <si>
    <t>Adult Gold Dragon</t>
  </si>
  <si>
    <t>Dragon d'or, ancien</t>
  </si>
  <si>
    <t>Ancient Gold Dragon</t>
  </si>
  <si>
    <t>Dragon d'or, jeune</t>
  </si>
  <si>
    <t>Young Gold Dragon</t>
  </si>
  <si>
    <t>Dragon d'or, nouveau-né</t>
  </si>
  <si>
    <t>Gold Dragon Wyrmling</t>
  </si>
  <si>
    <t>Dragon de bronze, adulte</t>
  </si>
  <si>
    <t>Adult Bronze Dragon</t>
  </si>
  <si>
    <t>Dragon de bronze, ancien</t>
  </si>
  <si>
    <t>Ancient Bronze Dragon</t>
  </si>
  <si>
    <t>Dragon de bronze, jeune</t>
  </si>
  <si>
    <t>Young Bronze Dragon</t>
  </si>
  <si>
    <t>Dragon de bronze, nouveau-né</t>
  </si>
  <si>
    <t>Bronze Dragon Wyrmling</t>
  </si>
  <si>
    <t>Dragon de cuivre, adulte</t>
  </si>
  <si>
    <t>Adult Copper Dragon</t>
  </si>
  <si>
    <t>Dragon de cuivre, ancien</t>
  </si>
  <si>
    <t>Ancient Copper Dragon</t>
  </si>
  <si>
    <t>Dragon de cuivre, jeune</t>
  </si>
  <si>
    <t>Young Copper Dragon</t>
  </si>
  <si>
    <t>Dragon de cuivre, nouveau-né</t>
  </si>
  <si>
    <t>Copper Dragon Wyrmling</t>
  </si>
  <si>
    <t>Dragon féerique</t>
  </si>
  <si>
    <t>Faerie Dragon</t>
  </si>
  <si>
    <t>Dragon noir, adulte</t>
  </si>
  <si>
    <t>Adult Black Dragon</t>
  </si>
  <si>
    <t>Dragon noir, ancien</t>
  </si>
  <si>
    <t>Ancient Black Dragon</t>
  </si>
  <si>
    <t>Dragon noir, jeune</t>
  </si>
  <si>
    <t>Young Black Dragon</t>
  </si>
  <si>
    <t>Dragon noir, nouveau-né</t>
  </si>
  <si>
    <t>Black Dragon Wyrmling</t>
  </si>
  <si>
    <t>Dragon rouge, adulte</t>
  </si>
  <si>
    <t>Adult Red Dragon</t>
  </si>
  <si>
    <t>Dragon rouge, ancien</t>
  </si>
  <si>
    <t>Ancient Red Dragon</t>
  </si>
  <si>
    <t>Dragon rouge, jeune</t>
  </si>
  <si>
    <t>Young Red Dragon</t>
  </si>
  <si>
    <t>Dragon rouge, nouveau-né</t>
  </si>
  <si>
    <t>Red Dragon Wyrmling</t>
  </si>
  <si>
    <t>Dragon vert, adulte</t>
  </si>
  <si>
    <t>Adult Green Dragon</t>
  </si>
  <si>
    <t>Dragon vert, ancien</t>
  </si>
  <si>
    <t>Ancient Green Dragon</t>
  </si>
  <si>
    <t>Dragon vert, jeune</t>
  </si>
  <si>
    <t>Young Green Dragon</t>
  </si>
  <si>
    <t>Dragon vert, nouveau-né</t>
  </si>
  <si>
    <t>Green Dragon Wyrmling</t>
  </si>
  <si>
    <t>Dragon-tortue</t>
  </si>
  <si>
    <t>Dragon Turtle</t>
  </si>
  <si>
    <t>Drake gardien</t>
  </si>
  <si>
    <t>Guard Drake</t>
  </si>
  <si>
    <t>Dretch</t>
  </si>
  <si>
    <t>Drider</t>
  </si>
  <si>
    <t>Humanoïde (elfe)</t>
  </si>
  <si>
    <t>Drow, arachnomancien</t>
  </si>
  <si>
    <t>Drow Arachnomancer</t>
  </si>
  <si>
    <t>Drow, capitaine de maison</t>
  </si>
  <si>
    <t>Drow House Captain</t>
  </si>
  <si>
    <t>Drow, consort favori</t>
  </si>
  <si>
    <t>Drow Favored Consort</t>
  </si>
  <si>
    <t>Drow, guerrier d'élite</t>
  </si>
  <si>
    <t>Drow Elite Warrior</t>
  </si>
  <si>
    <t>Drow, inquisiteur</t>
  </si>
  <si>
    <t>Drow Inquisitor</t>
  </si>
  <si>
    <t>Drow, mage</t>
  </si>
  <si>
    <t>Drow Mage</t>
  </si>
  <si>
    <t>Drow, Mère matrone</t>
  </si>
  <si>
    <t>Drow Matron Mother</t>
  </si>
  <si>
    <t>Drow, ombrelame</t>
  </si>
  <si>
    <t>Drow Shadowblade</t>
  </si>
  <si>
    <t>Drow, prêtresse de Lolth</t>
  </si>
  <si>
    <t>Drow Priestress of Lolth</t>
  </si>
  <si>
    <t>Dryade</t>
  </si>
  <si>
    <t>Dryad</t>
  </si>
  <si>
    <t>Duergar</t>
  </si>
  <si>
    <t>Humanoïde (nain)</t>
  </si>
  <si>
    <t>Duergar, despote</t>
  </si>
  <si>
    <t>Duergar Despot</t>
  </si>
  <si>
    <t>Duergar, garde de pierre</t>
  </si>
  <si>
    <t>Duergar Stone Guard</t>
  </si>
  <si>
    <t>Duergar, kavalrachni</t>
  </si>
  <si>
    <t>Duergar Kavalrachni</t>
  </si>
  <si>
    <t>Duergar, lame d'âme</t>
  </si>
  <si>
    <t>Duergar Soulblade</t>
  </si>
  <si>
    <t>Duergar, maître des esprits</t>
  </si>
  <si>
    <t>Duergar Mind Master</t>
  </si>
  <si>
    <t>Duergar, seigneur de guerre</t>
  </si>
  <si>
    <t>Duergar Warlord</t>
  </si>
  <si>
    <t>Duergar, xarrorn</t>
  </si>
  <si>
    <t>Duergar Xarrorn</t>
  </si>
  <si>
    <t>Duodrone</t>
  </si>
  <si>
    <t>Dybbuk</t>
  </si>
  <si>
    <t>Dyrrn</t>
  </si>
  <si>
    <t>Éclair vivant</t>
  </si>
  <si>
    <t>Living Lightning Bolt</t>
  </si>
  <si>
    <t>Éclaireur</t>
  </si>
  <si>
    <t>Scout</t>
  </si>
  <si>
    <t>Éfrit</t>
  </si>
  <si>
    <t>Efreeti</t>
  </si>
  <si>
    <t>Eidolon</t>
  </si>
  <si>
    <t>Éladrin d'automne</t>
  </si>
  <si>
    <t>Autumn Eladrin</t>
  </si>
  <si>
    <t>Fée (elfe)</t>
  </si>
  <si>
    <t>Éladrin d'été</t>
  </si>
  <si>
    <t>Summer Eladrin</t>
  </si>
  <si>
    <t>Éladrin d'hiver</t>
  </si>
  <si>
    <t>Winter Eladrin</t>
  </si>
  <si>
    <t>Éladrin de printemps</t>
  </si>
  <si>
    <t>Spring Eladrin</t>
  </si>
  <si>
    <t>Élan</t>
  </si>
  <si>
    <t>Elk</t>
  </si>
  <si>
    <t>Élan géant</t>
  </si>
  <si>
    <t>Giant Elk</t>
  </si>
  <si>
    <t>Élémentaire de l'air</t>
  </si>
  <si>
    <t>Air Elemental</t>
  </si>
  <si>
    <t>Élémentaire de l'air, myrmidon</t>
  </si>
  <si>
    <t>Air Elemental Myrmidon</t>
  </si>
  <si>
    <t>Élémentaire de l'eau</t>
  </si>
  <si>
    <t>Water Elemental</t>
  </si>
  <si>
    <t>Élémentaire de l'eau, myrmidon</t>
  </si>
  <si>
    <t>Water Elemental Myrmidon</t>
  </si>
  <si>
    <t>Élémentaire de la terre</t>
  </si>
  <si>
    <t>Earth Elemental</t>
  </si>
  <si>
    <t>Élémentaire de la terre, myrmidon</t>
  </si>
  <si>
    <t>Earth Elemental Myrmidon</t>
  </si>
  <si>
    <t>Élémentaire du feu</t>
  </si>
  <si>
    <t>Fire Elemental</t>
  </si>
  <si>
    <t>Élémentaire du feu, myrmidon</t>
  </si>
  <si>
    <t>Fire Elemental Myrmidon</t>
  </si>
  <si>
    <t>Elephant</t>
  </si>
  <si>
    <t>Elric</t>
  </si>
  <si>
    <t>Empyréen</t>
  </si>
  <si>
    <t>Empyrean</t>
  </si>
  <si>
    <t>Céleste (titan)</t>
  </si>
  <si>
    <t>Enchanteur</t>
  </si>
  <si>
    <t>Enchanter</t>
  </si>
  <si>
    <t>Enlaceur</t>
  </si>
  <si>
    <t>Roper</t>
  </si>
  <si>
    <t>Épaulard</t>
  </si>
  <si>
    <t>Killer Whale</t>
  </si>
  <si>
    <t>Épée volante</t>
  </si>
  <si>
    <t>Flying Sword</t>
  </si>
  <si>
    <t>Épineux</t>
  </si>
  <si>
    <t>Thorny</t>
  </si>
  <si>
    <t>Épouvantail</t>
  </si>
  <si>
    <t>Scarecrow</t>
  </si>
  <si>
    <t>Érinye</t>
  </si>
  <si>
    <t>Erinyes</t>
  </si>
  <si>
    <t>Escargot fléau</t>
  </si>
  <si>
    <t>Flail Snail</t>
  </si>
  <si>
    <t>Espion</t>
  </si>
  <si>
    <t>Spy</t>
  </si>
  <si>
    <t>Esprit follet</t>
  </si>
  <si>
    <t>Sprite</t>
  </si>
  <si>
    <t>Étrangleur</t>
  </si>
  <si>
    <t>Choker</t>
  </si>
  <si>
    <t>Ettercap</t>
  </si>
  <si>
    <t>Ettin</t>
  </si>
  <si>
    <t>Évocateur</t>
  </si>
  <si>
    <t>Evoker</t>
  </si>
  <si>
    <t>Expert (niv 1)</t>
  </si>
  <si>
    <t>Expert (lvl 1)</t>
  </si>
  <si>
    <t>Expert (niv 2)</t>
  </si>
  <si>
    <t>Expert (lvl 2)</t>
  </si>
  <si>
    <t>Expert (niv 3)</t>
  </si>
  <si>
    <t>Expert (lvl 3)</t>
  </si>
  <si>
    <t>Expert (niv 4)</t>
  </si>
  <si>
    <t>Expert (lvl 4)</t>
  </si>
  <si>
    <t>Expert (niv 5)</t>
  </si>
  <si>
    <t>Expert (lvl 5)</t>
  </si>
  <si>
    <t>Expert (niv 6)</t>
  </si>
  <si>
    <t>Expert (lvl 6)</t>
  </si>
  <si>
    <t>Expert en arts martiaux</t>
  </si>
  <si>
    <t>Martial Arts Adept</t>
  </si>
  <si>
    <t>Fanatique</t>
  </si>
  <si>
    <t>Cult Fanatic</t>
  </si>
  <si>
    <t>Fantôme</t>
  </si>
  <si>
    <t>Ghost</t>
  </si>
  <si>
    <t>Faucheur de Bhaal</t>
  </si>
  <si>
    <t>Reaper of Bhaal</t>
  </si>
  <si>
    <t>Faucon</t>
  </si>
  <si>
    <t>Hawk</t>
  </si>
  <si>
    <t>Faucon de sang</t>
  </si>
  <si>
    <t>Blood Hawk</t>
  </si>
  <si>
    <t>Faucon du Valénar</t>
  </si>
  <si>
    <t>Valenar Hawk</t>
  </si>
  <si>
    <t>Féral</t>
  </si>
  <si>
    <t>Shifter</t>
  </si>
  <si>
    <t>Humanoïde (féral)</t>
  </si>
  <si>
    <t>Feu follet</t>
  </si>
  <si>
    <t>Will-o'-Wisp</t>
  </si>
  <si>
    <t>Flagelleur des crânes de Myrkul</t>
  </si>
  <si>
    <t>Skull Lasher of Myrkul</t>
  </si>
  <si>
    <t>Flagelleur mental</t>
  </si>
  <si>
    <t>Mind Flayer</t>
  </si>
  <si>
    <t>Fleur charognarde</t>
  </si>
  <si>
    <t>Corpse Flower</t>
  </si>
  <si>
    <t>Flind</t>
  </si>
  <si>
    <t>Humanoïde (gnoll)</t>
  </si>
  <si>
    <t>Flumph</t>
  </si>
  <si>
    <t>Fomorien</t>
  </si>
  <si>
    <t>Fomorian</t>
  </si>
  <si>
    <t>Forgelier, colosse</t>
  </si>
  <si>
    <t>Warforged Colossus</t>
  </si>
  <si>
    <t>Forgelier, soldat</t>
  </si>
  <si>
    <t>Warforged Soldier</t>
  </si>
  <si>
    <t>Forgelier, titan</t>
  </si>
  <si>
    <t>Warforged Titan</t>
  </si>
  <si>
    <t>Fraz-Urb'luu</t>
  </si>
  <si>
    <t>Froghémoth</t>
  </si>
  <si>
    <t>Froghemoth</t>
  </si>
  <si>
    <t>Furie des mers</t>
  </si>
  <si>
    <t>Sea Fury</t>
  </si>
  <si>
    <t>Furte</t>
  </si>
  <si>
    <t>Skulk</t>
  </si>
  <si>
    <t>Humanoïde</t>
  </si>
  <si>
    <t>Galeb duhr</t>
  </si>
  <si>
    <t>Galeb Duhr</t>
  </si>
  <si>
    <t>Gantelet noir de Baine</t>
  </si>
  <si>
    <t>Black Gauntlet of Bane</t>
  </si>
  <si>
    <t>Garde</t>
  </si>
  <si>
    <t>Guard</t>
  </si>
  <si>
    <t>Gardien animé</t>
  </si>
  <si>
    <t>Shield Guardian</t>
  </si>
  <si>
    <t>Gargouille</t>
  </si>
  <si>
    <t>Gargoyle</t>
  </si>
  <si>
    <t>Gauth</t>
  </si>
  <si>
    <t>Gazer</t>
  </si>
  <si>
    <t>Géant des collines</t>
  </si>
  <si>
    <t>Hill Giant</t>
  </si>
  <si>
    <t>Géant des collines maudit</t>
  </si>
  <si>
    <t>Cursed Hill Giant</t>
  </si>
  <si>
    <t>Géant des nuages</t>
  </si>
  <si>
    <t>Cloud Giant</t>
  </si>
  <si>
    <t>Géant des nuages, tout-sourire</t>
  </si>
  <si>
    <t>Cloud Giant Smiling One</t>
  </si>
  <si>
    <t>Géant (géant des nuages)</t>
  </si>
  <si>
    <t>Géant des pierres</t>
  </si>
  <si>
    <t>Stone Giant</t>
  </si>
  <si>
    <t>Géant des pierres, marcherêve</t>
  </si>
  <si>
    <t>Stone Giant Dreamwalker</t>
  </si>
  <si>
    <t>Géant (géant des pierres)</t>
  </si>
  <si>
    <t>Géant des tempêtes</t>
  </si>
  <si>
    <t>Storm Giant</t>
  </si>
  <si>
    <t>Géant des tempêtes, quintessent</t>
  </si>
  <si>
    <t>Storm Giant Quintessent</t>
  </si>
  <si>
    <t>Géant (géant des tempêtes)</t>
  </si>
  <si>
    <t>Géant du feu</t>
  </si>
  <si>
    <t>Fire Giant</t>
  </si>
  <si>
    <t>Géant du feu, cuirassé</t>
  </si>
  <si>
    <t>Fire Giant Dreadnought</t>
  </si>
  <si>
    <t>Géant (géant du feu)</t>
  </si>
  <si>
    <t>Géant du givre</t>
  </si>
  <si>
    <t>Frost Giant</t>
  </si>
  <si>
    <t>Géant du givre zombi</t>
  </si>
  <si>
    <t>Frost Giant Zombie</t>
  </si>
  <si>
    <t>Géant du givre, éternel</t>
  </si>
  <si>
    <t>Frost Giant Everlasting One</t>
  </si>
  <si>
    <t>Géant (géant du givre)</t>
  </si>
  <si>
    <t>Gelée ocre</t>
  </si>
  <si>
    <t>Ochre Jelly</t>
  </si>
  <si>
    <t>Geryon</t>
  </si>
  <si>
    <t>Giff</t>
  </si>
  <si>
    <t>Girallon</t>
  </si>
  <si>
    <t>Githyanki, chevalier</t>
  </si>
  <si>
    <t>Githyanki Knight</t>
  </si>
  <si>
    <t>Humanoïde (gith)</t>
  </si>
  <si>
    <t>Githyanki, commandant suprême</t>
  </si>
  <si>
    <t>Githyanki Supreme Commander</t>
  </si>
  <si>
    <t>Githyanki, gish</t>
  </si>
  <si>
    <t>Githyanki Gish</t>
  </si>
  <si>
    <t>Githyanki, guerrier</t>
  </si>
  <si>
    <t>Githyanki Warrior</t>
  </si>
  <si>
    <t>Githyanki, kith' rak</t>
  </si>
  <si>
    <t>Githyanki Kith' Rak</t>
  </si>
  <si>
    <t>Githzerai, anarque</t>
  </si>
  <si>
    <t>Githzerai Anarch</t>
  </si>
  <si>
    <t>Githzerai, éclairé</t>
  </si>
  <si>
    <t>Githzerai Enlightned</t>
  </si>
  <si>
    <t>Githzerai, moine</t>
  </si>
  <si>
    <t>Githzerai Monk</t>
  </si>
  <si>
    <t>Githzerai, zerth</t>
  </si>
  <si>
    <t>Githzerai Zerth</t>
  </si>
  <si>
    <t>Glabrezu</t>
  </si>
  <si>
    <t>Gladiateur</t>
  </si>
  <si>
    <t>Gladiator</t>
  </si>
  <si>
    <t>Gnoll</t>
  </si>
  <si>
    <t>Gnoll, chasseur</t>
  </si>
  <si>
    <t>Gnoll Hunter</t>
  </si>
  <si>
    <t>Gnoll, croc de Yeenoghu</t>
  </si>
  <si>
    <t>Gnoll Fang of Yeenoghu</t>
  </si>
  <si>
    <t>Fiélon (gnoll)</t>
  </si>
  <si>
    <t>Gnoll, décrépit</t>
  </si>
  <si>
    <t>Gnoll Witherling</t>
  </si>
  <si>
    <t>Gnoll, rongeur de chair</t>
  </si>
  <si>
    <t>Gnoll Flesh Gnawer</t>
  </si>
  <si>
    <t>Gnoll, seigneur de meute</t>
  </si>
  <si>
    <t>Gnoll Pack Lord</t>
  </si>
  <si>
    <t>Gnome des profondeurs (svirfnebelin)</t>
  </si>
  <si>
    <t>Deep Gnome (Svirfneblin)</t>
  </si>
  <si>
    <t>Humanoïde (gnome)</t>
  </si>
  <si>
    <t>Goblin</t>
  </si>
  <si>
    <t>Humanoïde (gobelinoïde)</t>
  </si>
  <si>
    <t>Gobelin, chef</t>
  </si>
  <si>
    <t>Goblin Boss</t>
  </si>
  <si>
    <t>Gobelours</t>
  </si>
  <si>
    <t>Bugbear</t>
  </si>
  <si>
    <t>Gobelours, chef</t>
  </si>
  <si>
    <t>Bugbear Chief</t>
  </si>
  <si>
    <t>Golem d'argile</t>
  </si>
  <si>
    <t>Clay Golem</t>
  </si>
  <si>
    <t>Golem de bois</t>
  </si>
  <si>
    <t>Wood Golem</t>
  </si>
  <si>
    <t>Golem de bronze</t>
  </si>
  <si>
    <t>Bronze Golem</t>
  </si>
  <si>
    <t>Golem de chair</t>
  </si>
  <si>
    <t>Flesh Golem</t>
  </si>
  <si>
    <t>Golem de fer</t>
  </si>
  <si>
    <t>Iron Golem</t>
  </si>
  <si>
    <t>Golem de glace</t>
  </si>
  <si>
    <t>Ice Golem</t>
  </si>
  <si>
    <t>Golem de pierre</t>
  </si>
  <si>
    <t>Stone Golem</t>
  </si>
  <si>
    <t>Gorgone</t>
  </si>
  <si>
    <t>Gorgon</t>
  </si>
  <si>
    <t>Goristro</t>
  </si>
  <si>
    <t>Gosier de Grolantor</t>
  </si>
  <si>
    <t>Mouth of Grolantor</t>
  </si>
  <si>
    <t>Géant (géant des collines)</t>
  </si>
  <si>
    <t>Goule</t>
  </si>
  <si>
    <t>Ghoul</t>
  </si>
  <si>
    <t>Grand singe</t>
  </si>
  <si>
    <t>Ape</t>
  </si>
  <si>
    <t>Graz'zt</t>
  </si>
  <si>
    <t>Fiélon (démon, métamorphe)</t>
  </si>
  <si>
    <t>Grell</t>
  </si>
  <si>
    <t>Grenouille</t>
  </si>
  <si>
    <t>Frog</t>
  </si>
  <si>
    <t>Grenouille géante</t>
  </si>
  <si>
    <t>Giant Frog</t>
  </si>
  <si>
    <t>Grick</t>
  </si>
  <si>
    <t>Grick dominant</t>
  </si>
  <si>
    <t>Grick alpha</t>
  </si>
  <si>
    <t>Griffe rampante</t>
  </si>
  <si>
    <t>Crawling Claw</t>
  </si>
  <si>
    <t>Griffecendre</t>
  </si>
  <si>
    <t>Boneclaw</t>
  </si>
  <si>
    <t>Griffon</t>
  </si>
  <si>
    <t>Grung</t>
  </si>
  <si>
    <t>Grung, guerrier d'élite</t>
  </si>
  <si>
    <t>Grung Elite Warrior</t>
  </si>
  <si>
    <t>Humanoïde (grung)</t>
  </si>
  <si>
    <t>Grung, sauvage</t>
  </si>
  <si>
    <t>Grung Wildling</t>
  </si>
  <si>
    <t>Guenaude annis</t>
  </si>
  <si>
    <t>Annis Hag</t>
  </si>
  <si>
    <t>Guenaude aquatique</t>
  </si>
  <si>
    <t>Sea Hag</t>
  </si>
  <si>
    <t>Guenaude frige</t>
  </si>
  <si>
    <t>Bheur hag</t>
  </si>
  <si>
    <t>Guenaude nocturne</t>
  </si>
  <si>
    <t>Night Hag</t>
  </si>
  <si>
    <t>Guenaude verte</t>
  </si>
  <si>
    <t>Green Hag</t>
  </si>
  <si>
    <t>Guenaude visionnaire</t>
  </si>
  <si>
    <t>Dusk Hag</t>
  </si>
  <si>
    <t>Guêpe géante</t>
  </si>
  <si>
    <t>Giant Wasp</t>
  </si>
  <si>
    <t>Guêpe infernale</t>
  </si>
  <si>
    <t>Hellwasp</t>
  </si>
  <si>
    <t>Guerrier momifié</t>
  </si>
  <si>
    <t>Mummified Warrior</t>
  </si>
  <si>
    <t>Guerrier tribal</t>
  </si>
  <si>
    <t>Tribal Warrior</t>
  </si>
  <si>
    <t>Gynosphinx</t>
  </si>
  <si>
    <t>Halaster Blackcloak</t>
  </si>
  <si>
    <t>Harpie</t>
  </si>
  <si>
    <t>Harpy</t>
  </si>
  <si>
    <t>Hezrou</t>
  </si>
  <si>
    <t>Hippocampe</t>
  </si>
  <si>
    <t>Sea Horse</t>
  </si>
  <si>
    <t>Hippocampe géant</t>
  </si>
  <si>
    <t>Giant Sea Horse</t>
  </si>
  <si>
    <t>Hippogriffe</t>
  </si>
  <si>
    <t>Hippogriff</t>
  </si>
  <si>
    <t>Hobgobelin</t>
  </si>
  <si>
    <t>Hobgoblin</t>
  </si>
  <si>
    <t>Hobgobelin, capitaine</t>
  </si>
  <si>
    <t>Hobgoblin Captain</t>
  </si>
  <si>
    <t>Hobgobelin, ombre de fer</t>
  </si>
  <si>
    <t>Hobgoblin Iron Shadow</t>
  </si>
  <si>
    <t>Hobgobelin, ravageur</t>
  </si>
  <si>
    <t>Hobgoblin Devastator</t>
  </si>
  <si>
    <t>Hobgobelin, seigneur de guerre</t>
  </si>
  <si>
    <t>Hobgoblin Warlord</t>
  </si>
  <si>
    <t>Homme-lézard</t>
  </si>
  <si>
    <t>Lizardfolk</t>
  </si>
  <si>
    <t>Humanoïde (homme-lézard)</t>
  </si>
  <si>
    <t>Homme-lézard, chaman</t>
  </si>
  <si>
    <t>Lizardfolk Shaman</t>
  </si>
  <si>
    <t>Homme-poisson</t>
  </si>
  <si>
    <t>Merfolk</t>
  </si>
  <si>
    <t>Humanoïde (homme-poisson)</t>
  </si>
  <si>
    <t>Homoncule</t>
  </si>
  <si>
    <t>Homunculus</t>
  </si>
  <si>
    <t>Horreur casquée</t>
  </si>
  <si>
    <t>Helmed Horror</t>
  </si>
  <si>
    <t>Horreur chasseresse</t>
  </si>
  <si>
    <t>Retriever</t>
  </si>
  <si>
    <t>Horreur crochue</t>
  </si>
  <si>
    <t>Hook Horror</t>
  </si>
  <si>
    <t>Huldin</t>
  </si>
  <si>
    <t>Hurleur</t>
  </si>
  <si>
    <t>Howler</t>
  </si>
  <si>
    <t>Hutijin</t>
  </si>
  <si>
    <t>Hydre</t>
  </si>
  <si>
    <t>Hydra</t>
  </si>
  <si>
    <t>Hydroloth</t>
  </si>
  <si>
    <t>Hyène</t>
  </si>
  <si>
    <t>Hyena</t>
  </si>
  <si>
    <t>Hyène géante</t>
  </si>
  <si>
    <t>Giant Hyena</t>
  </si>
  <si>
    <t>Illusionniste</t>
  </si>
  <si>
    <t>Illusionist</t>
  </si>
  <si>
    <t>Inspiré</t>
  </si>
  <si>
    <t>Inspired</t>
  </si>
  <si>
    <t>Invocateur</t>
  </si>
  <si>
    <t>Conjurer</t>
  </si>
  <si>
    <t>Jarlaxle Baenre</t>
  </si>
  <si>
    <t>Juiblex</t>
  </si>
  <si>
    <t>Kalashtar</t>
  </si>
  <si>
    <t>Humanoïde (kalashtar)</t>
  </si>
  <si>
    <t>Kenku</t>
  </si>
  <si>
    <t>Humanoïde (kenku)</t>
  </si>
  <si>
    <t>Ki-rin</t>
  </si>
  <si>
    <t>Kobold</t>
  </si>
  <si>
    <t>Humanoïde (kobold)</t>
  </si>
  <si>
    <t>Kobold ailé</t>
  </si>
  <si>
    <t>Winged Kobold</t>
  </si>
  <si>
    <t>Kobold, bouclier de dragon</t>
  </si>
  <si>
    <t>Kobold Dragonshield</t>
  </si>
  <si>
    <t>Kobold, ensorceleur des écailles</t>
  </si>
  <si>
    <t>Kobold Scale Sorcerer</t>
  </si>
  <si>
    <t>Kobold, inventeur</t>
  </si>
  <si>
    <t>Kobold Inventor</t>
  </si>
  <si>
    <t>Korred</t>
  </si>
  <si>
    <t>Kraken</t>
  </si>
  <si>
    <t>Kruthik, adulte</t>
  </si>
  <si>
    <t>Adult Kruthik</t>
  </si>
  <si>
    <t>Kruthik, jeune</t>
  </si>
  <si>
    <t>Young Kruthik</t>
  </si>
  <si>
    <t>Kruthik, seigneur de la ruche</t>
  </si>
  <si>
    <t>Kruthik Hive Lord</t>
  </si>
  <si>
    <t>Kuo-toa</t>
  </si>
  <si>
    <t>Humanoïde (kuo-toa)</t>
  </si>
  <si>
    <t>Kuo-toa, archiprêtre</t>
  </si>
  <si>
    <t>Kuo-toa Archpriest</t>
  </si>
  <si>
    <t>Kuo-toa, fouet</t>
  </si>
  <si>
    <t>Kuo-toa Whip</t>
  </si>
  <si>
    <t>L'abandon</t>
  </si>
  <si>
    <t>The Lost</t>
  </si>
  <si>
    <t>La colère</t>
  </si>
  <si>
    <t>The Angry</t>
  </si>
  <si>
    <t>La faim</t>
  </si>
  <si>
    <t>The Hungry</t>
  </si>
  <si>
    <t>La misère</t>
  </si>
  <si>
    <t>The Wretched</t>
  </si>
  <si>
    <t>La solitude</t>
  </si>
  <si>
    <t>The Lonely</t>
  </si>
  <si>
    <t>Laeral Silverhand</t>
  </si>
  <si>
    <t>Lame de nuit</t>
  </si>
  <si>
    <t>Night Blade</t>
  </si>
  <si>
    <t>Lame en peine, commandant</t>
  </si>
  <si>
    <t>Sword Wraith Commander</t>
  </si>
  <si>
    <t>Lame en peine, guerrier</t>
  </si>
  <si>
    <t>Sword Wraith Warrior</t>
  </si>
  <si>
    <t>Lamie</t>
  </si>
  <si>
    <t>Lamia</t>
  </si>
  <si>
    <t>Lanceur de sorts (guérisseur, niv 1)</t>
  </si>
  <si>
    <t>Spellcaster (healer, lvl 1)</t>
  </si>
  <si>
    <t>Lanceur de sorts (guérisseur, niv 2)</t>
  </si>
  <si>
    <t>Spellcaster (healer, lvl 2)</t>
  </si>
  <si>
    <t>Lanceur de sorts (guérisseur, niv 3)</t>
  </si>
  <si>
    <t>Spellcaster (healer, lvl 3)</t>
  </si>
  <si>
    <t>Lanceur de sorts (guérisseur, niv 4)</t>
  </si>
  <si>
    <t>Spellcaster (healer, lvl 4)</t>
  </si>
  <si>
    <t>Lanceur de sorts (guérisseur, niv 5)</t>
  </si>
  <si>
    <t>Spellcaster (healer, lvl 5)</t>
  </si>
  <si>
    <t>Lanceur de sorts (guérisseur, niv 6)</t>
  </si>
  <si>
    <t>Spellcaster (healer, lvl 6)</t>
  </si>
  <si>
    <t>Lanceur de sorts (mage, niv 1)</t>
  </si>
  <si>
    <t>Spellcaster (mage, lvl 1)</t>
  </si>
  <si>
    <t>Lanceur de sorts (mage, niv 2)</t>
  </si>
  <si>
    <t>Spellcaster (mage, lvl 2)</t>
  </si>
  <si>
    <t>Lanceur de sorts (mage, niv 3)</t>
  </si>
  <si>
    <t>Spellcaster (mage, lvl 3)</t>
  </si>
  <si>
    <t>Lanceur de sorts (mage, niv 4)</t>
  </si>
  <si>
    <t>Spellcaster (mage, lvl 4)</t>
  </si>
  <si>
    <t>Lanceur de sorts (mage, niv 5)</t>
  </si>
  <si>
    <t>Spellcaster (mage, lvl 5)</t>
  </si>
  <si>
    <t>Lanceur de sorts (mage, niv 6)</t>
  </si>
  <si>
    <t>Spellcaster (mage, lvl 6)</t>
  </si>
  <si>
    <t>Le seigneur des lames</t>
  </si>
  <si>
    <t>The Lord of Blades</t>
  </si>
  <si>
    <t>Lekhet</t>
  </si>
  <si>
    <t>Humanoïde (yuan-ti)</t>
  </si>
  <si>
    <t>Lémure</t>
  </si>
  <si>
    <t>Lemure</t>
  </si>
  <si>
    <t>Leucrotta</t>
  </si>
  <si>
    <t>Leviathan</t>
  </si>
  <si>
    <t>Lézard</t>
  </si>
  <si>
    <t>Lizard</t>
  </si>
  <si>
    <t>Lézard géant</t>
  </si>
  <si>
    <t>Giant Lizard</t>
  </si>
  <si>
    <t>Liane meurtrière</t>
  </si>
  <si>
    <t>Assassin Vine</t>
  </si>
  <si>
    <t>Liche</t>
  </si>
  <si>
    <t>Lich</t>
  </si>
  <si>
    <t>Licorne</t>
  </si>
  <si>
    <t>Unicorn</t>
  </si>
  <si>
    <t>Lierre infecté</t>
  </si>
  <si>
    <t>Vine Blight</t>
  </si>
  <si>
    <t>Lierre musqué jaune</t>
  </si>
  <si>
    <t>Yellow musk creeper</t>
  </si>
  <si>
    <t>Lion</t>
  </si>
  <si>
    <t>Longues-griffes</t>
  </si>
  <si>
    <t>Clawfoot</t>
  </si>
  <si>
    <t>Loup</t>
  </si>
  <si>
    <t>Wolf</t>
  </si>
  <si>
    <t>Loup arctique</t>
  </si>
  <si>
    <t>Winter Wolf</t>
  </si>
  <si>
    <t>Loup sanguinaire</t>
  </si>
  <si>
    <t>Dire Wolf</t>
  </si>
  <si>
    <t>Loup-garou</t>
  </si>
  <si>
    <t>Werewolf</t>
  </si>
  <si>
    <t>Machine infernale</t>
  </si>
  <si>
    <t>Hellfire Engine</t>
  </si>
  <si>
    <t>Mage</t>
  </si>
  <si>
    <t>Magmatique</t>
  </si>
  <si>
    <t>Magmin</t>
  </si>
  <si>
    <t>Mains brûlantes vivantes</t>
  </si>
  <si>
    <t>Living Burning Hands</t>
  </si>
  <si>
    <t>Maître des âmes</t>
  </si>
  <si>
    <t>Master of Souls</t>
  </si>
  <si>
    <t>Maître voleur</t>
  </si>
  <si>
    <t>Master Thief</t>
  </si>
  <si>
    <t>Maldryn</t>
  </si>
  <si>
    <t>Humanoïde (demi-elfe)</t>
  </si>
  <si>
    <t>Malfrat</t>
  </si>
  <si>
    <t>Thug</t>
  </si>
  <si>
    <t>Mammouth</t>
  </si>
  <si>
    <t>Mammoth</t>
  </si>
  <si>
    <t>Mâne</t>
  </si>
  <si>
    <t>Manes</t>
  </si>
  <si>
    <t>Manshoon</t>
  </si>
  <si>
    <t>Mante obscure</t>
  </si>
  <si>
    <t>Darkmantle</t>
  </si>
  <si>
    <t>Manteleur</t>
  </si>
  <si>
    <t>Cloaker</t>
  </si>
  <si>
    <t>Manticore</t>
  </si>
  <si>
    <t>Maride</t>
  </si>
  <si>
    <t>Marid</t>
  </si>
  <si>
    <t>Marilith</t>
  </si>
  <si>
    <t>Marut</t>
  </si>
  <si>
    <t>Créature artificielle (inévitable)</t>
  </si>
  <si>
    <t>Mastodonte des ombres</t>
  </si>
  <si>
    <t>Umber Hulk</t>
  </si>
  <si>
    <t>Maurezhi</t>
  </si>
  <si>
    <t>Meazel</t>
  </si>
  <si>
    <t>Humanoïde (meazel)</t>
  </si>
  <si>
    <t>Méduse</t>
  </si>
  <si>
    <t>Medusa</t>
  </si>
  <si>
    <t>Méphite de boue</t>
  </si>
  <si>
    <t>Mud Mephit</t>
  </si>
  <si>
    <t>Méphite de fumée</t>
  </si>
  <si>
    <t>Smoke Mephit</t>
  </si>
  <si>
    <t>Méphite de glace</t>
  </si>
  <si>
    <t>Ice Mephit</t>
  </si>
  <si>
    <t>Méphite de magma</t>
  </si>
  <si>
    <t>Magma Mephit</t>
  </si>
  <si>
    <t>Méphite de poussière</t>
  </si>
  <si>
    <t>Dust Mephit</t>
  </si>
  <si>
    <t>Méphite de vapeur</t>
  </si>
  <si>
    <t>Steam Mephit</t>
  </si>
  <si>
    <t>Mercenaire de Bois noir</t>
  </si>
  <si>
    <t>Black Wood Mercenary</t>
  </si>
  <si>
    <t>Merregon</t>
  </si>
  <si>
    <t>Merrenoloth</t>
  </si>
  <si>
    <t>Merrow</t>
  </si>
  <si>
    <t>Merrow, prêtre de la surface</t>
  </si>
  <si>
    <t>Merrow Shallowpriest</t>
  </si>
  <si>
    <t>Messager expéditif</t>
  </si>
  <si>
    <t>Expeditious Messenger</t>
  </si>
  <si>
    <t>Mez'Arate</t>
  </si>
  <si>
    <t>Mezzoloth</t>
  </si>
  <si>
    <t>Mille-pattes géant</t>
  </si>
  <si>
    <t>Giant Centipede</t>
  </si>
  <si>
    <t>Mimique</t>
  </si>
  <si>
    <t>Mimic</t>
  </si>
  <si>
    <t>Minotaure</t>
  </si>
  <si>
    <t>Minotaur</t>
  </si>
  <si>
    <t>Minotaure squelette</t>
  </si>
  <si>
    <t>Minotaur Skeleton</t>
  </si>
  <si>
    <t>Moisissure violette</t>
  </si>
  <si>
    <t>Violet Fungus</t>
  </si>
  <si>
    <t>Moloch</t>
  </si>
  <si>
    <t>Mastiff</t>
  </si>
  <si>
    <t>Molosse de Yeth</t>
  </si>
  <si>
    <t>Yeth Hound</t>
  </si>
  <si>
    <t>Molosse des ombres</t>
  </si>
  <si>
    <t>Shadow Mastiff</t>
  </si>
  <si>
    <t>Molosse du Valénar</t>
  </si>
  <si>
    <t>Valenar Hound</t>
  </si>
  <si>
    <t>Molosse infernal</t>
  </si>
  <si>
    <t>Hell Hound</t>
  </si>
  <si>
    <t>Molydeus</t>
  </si>
  <si>
    <t>Momie</t>
  </si>
  <si>
    <t>Mummy</t>
  </si>
  <si>
    <t>Monodrone</t>
  </si>
  <si>
    <t>Monture du Valénar</t>
  </si>
  <si>
    <t>Valenar Steed</t>
  </si>
  <si>
    <t>Mordakhesh</t>
  </si>
  <si>
    <t>Morkoth</t>
  </si>
  <si>
    <t>Mule</t>
  </si>
  <si>
    <t>Myconide, adulte</t>
  </si>
  <si>
    <t>Myconid adult</t>
  </si>
  <si>
    <t>Myconide, jeune pousse</t>
  </si>
  <si>
    <t>Myconid sprout</t>
  </si>
  <si>
    <t>Myconide, souverain</t>
  </si>
  <si>
    <t>Myconid Sovereign</t>
  </si>
  <si>
    <t>Nabassu</t>
  </si>
  <si>
    <t>Naga corrupteur</t>
  </si>
  <si>
    <t>Spirit Naga</t>
  </si>
  <si>
    <t>Naga gardien</t>
  </si>
  <si>
    <t>Guardian Naga</t>
  </si>
  <si>
    <t>Naga osseux</t>
  </si>
  <si>
    <t>Bone Naga</t>
  </si>
  <si>
    <t>Nagpa</t>
  </si>
  <si>
    <t>Humanoïde (nagpa)</t>
  </si>
  <si>
    <t>Nalfeshnie</t>
  </si>
  <si>
    <t>Nalfeshnee</t>
  </si>
  <si>
    <t>Narzugon</t>
  </si>
  <si>
    <t>Nécromant</t>
  </si>
  <si>
    <t>Necromancer</t>
  </si>
  <si>
    <t>Nécromite of Myrkul</t>
  </si>
  <si>
    <t>Necromite of Myrkul</t>
  </si>
  <si>
    <t>Nécrophage</t>
  </si>
  <si>
    <t>Wight</t>
  </si>
  <si>
    <t>Néogi</t>
  </si>
  <si>
    <t>Neogi</t>
  </si>
  <si>
    <t>Néogi, larve</t>
  </si>
  <si>
    <t>Neogi Hatchling</t>
  </si>
  <si>
    <t>Néogi, maître</t>
  </si>
  <si>
    <t>Neogi Master</t>
  </si>
  <si>
    <t>Néothélide</t>
  </si>
  <si>
    <t>Neothelid</t>
  </si>
  <si>
    <t>Nergalien</t>
  </si>
  <si>
    <t>Nergaliid</t>
  </si>
  <si>
    <t>Nerissa</t>
  </si>
  <si>
    <t>Nilbog</t>
  </si>
  <si>
    <t>Nothic</t>
  </si>
  <si>
    <t>Nuage mortel vivant</t>
  </si>
  <si>
    <t>Living Cloudkill</t>
  </si>
  <si>
    <t>Nuée d'insectes</t>
  </si>
  <si>
    <t>Swarm of Insects</t>
  </si>
  <si>
    <t>Nuée de chauves-souris</t>
  </si>
  <si>
    <t>Swarm of Bats</t>
  </si>
  <si>
    <t>Nuée de corbeaux</t>
  </si>
  <si>
    <t>Swarm of Ravens</t>
  </si>
  <si>
    <t>Nuée de gobelins maudits</t>
  </si>
  <si>
    <t>Swarms of Cursed Goblins</t>
  </si>
  <si>
    <t>Nuée de piranhas</t>
  </si>
  <si>
    <t>Swarm of Quippers</t>
  </si>
  <si>
    <t>Nuée de rats</t>
  </si>
  <si>
    <t>Swarm of Rats</t>
  </si>
  <si>
    <t>Nuée de rats-crâne</t>
  </si>
  <si>
    <t>Swarm of Cranium Rats</t>
  </si>
  <si>
    <t>Nuée de serpents venimeux</t>
  </si>
  <si>
    <t>Swarm of Poisonous Snakes</t>
  </si>
  <si>
    <t>Nuée de vers putrides</t>
  </si>
  <si>
    <t>Swarm of Rot Grubs</t>
  </si>
  <si>
    <t>Nupperibo</t>
  </si>
  <si>
    <t>Nycaloth</t>
  </si>
  <si>
    <t>Oblex, adulte</t>
  </si>
  <si>
    <t>Adult Oblex</t>
  </si>
  <si>
    <t>Oblex, rejeton</t>
  </si>
  <si>
    <t>Oblex Spawn</t>
  </si>
  <si>
    <t>Oblex, vénérable</t>
  </si>
  <si>
    <t>Elder Oblex</t>
  </si>
  <si>
    <t>Ogre</t>
  </si>
  <si>
    <t>Ogre zombi</t>
  </si>
  <si>
    <t>Ogre Zombie</t>
  </si>
  <si>
    <t>Ogre, brute à chaînes</t>
  </si>
  <si>
    <t>Ogre Chain Brute</t>
  </si>
  <si>
    <t>Ogre, lanceur de piques</t>
  </si>
  <si>
    <t>Ogre Bolt Launcher</t>
  </si>
  <si>
    <t>Ogre, porte-bélier</t>
  </si>
  <si>
    <t>Ogre Battering Ram</t>
  </si>
  <si>
    <t>Ogre, porte-palanquin</t>
  </si>
  <si>
    <t>Ogre Howdah</t>
  </si>
  <si>
    <t>Oinoloth</t>
  </si>
  <si>
    <t>Ombre</t>
  </si>
  <si>
    <t>Shadow</t>
  </si>
  <si>
    <t>Ombre, ancienne</t>
  </si>
  <si>
    <t>Ancient Shadow</t>
  </si>
  <si>
    <t>Ombre, vénérable</t>
  </si>
  <si>
    <t>Venerable Shadow</t>
  </si>
  <si>
    <t>Oni</t>
  </si>
  <si>
    <t>Orcus</t>
  </si>
  <si>
    <t>Orog</t>
  </si>
  <si>
    <t>Humanoïde (orque)</t>
  </si>
  <si>
    <t>Orc</t>
  </si>
  <si>
    <t>Orque, chef de guerre</t>
  </si>
  <si>
    <t>Orc War Chief</t>
  </si>
  <si>
    <t>Orque, croc rouge de Shargaas</t>
  </si>
  <si>
    <t>Orc Red Fang of Shargaas</t>
  </si>
  <si>
    <t>Orque, griffe de Luthic</t>
  </si>
  <si>
    <t>Orc Claw of Luthic</t>
  </si>
  <si>
    <t>Orque, lame d'Ilneval</t>
  </si>
  <si>
    <t>Orc Blade of Ilneval</t>
  </si>
  <si>
    <t>Orque, main de Yurtrus</t>
  </si>
  <si>
    <t>Orc Hand of Yurtrus</t>
  </si>
  <si>
    <t>Orque, Oeil de Gruumsh</t>
  </si>
  <si>
    <t>Orc Eye of Gruumsh</t>
  </si>
  <si>
    <t>Orthon</t>
  </si>
  <si>
    <t>Otyugh</t>
  </si>
  <si>
    <t>Ours brun</t>
  </si>
  <si>
    <t>Brown Bear</t>
  </si>
  <si>
    <t>Ours noir</t>
  </si>
  <si>
    <t>Black Bear</t>
  </si>
  <si>
    <t>Ours polaire</t>
  </si>
  <si>
    <t>Polar Bear</t>
  </si>
  <si>
    <t>Ours-garou</t>
  </si>
  <si>
    <t>Werebear</t>
  </si>
  <si>
    <t>Ours-hibou</t>
  </si>
  <si>
    <t>Owlbear</t>
  </si>
  <si>
    <t>Oxydeur</t>
  </si>
  <si>
    <t>Rust Monster</t>
  </si>
  <si>
    <t>Panthère</t>
  </si>
  <si>
    <t>Panther</t>
  </si>
  <si>
    <t>Particules d'avarice</t>
  </si>
  <si>
    <t>Greed Mote</t>
  </si>
  <si>
    <t>Patricien outre-mort</t>
  </si>
  <si>
    <t>Undying Councilor</t>
  </si>
  <si>
    <t>Pégase</t>
  </si>
  <si>
    <t>Pegasus</t>
  </si>
  <si>
    <t>Pentadrone</t>
  </si>
  <si>
    <t>Perceur</t>
  </si>
  <si>
    <t>Piercer</t>
  </si>
  <si>
    <t>Péryton</t>
  </si>
  <si>
    <t>Peryton</t>
  </si>
  <si>
    <t>Pétriféré</t>
  </si>
  <si>
    <t>Stone Cursed</t>
  </si>
  <si>
    <t>Phénix</t>
  </si>
  <si>
    <t>Phoenix</t>
  </si>
  <si>
    <t>Piégeur</t>
  </si>
  <si>
    <t>Trapper</t>
  </si>
  <si>
    <t>Pieuvre</t>
  </si>
  <si>
    <t>Octopus</t>
  </si>
  <si>
    <t>Pieuvre géante</t>
  </si>
  <si>
    <t>Giant Octopus</t>
  </si>
  <si>
    <t>Piranha</t>
  </si>
  <si>
    <t>Quipper</t>
  </si>
  <si>
    <t>Pixie</t>
  </si>
  <si>
    <t>Planétar</t>
  </si>
  <si>
    <t>Planetar</t>
  </si>
  <si>
    <t>Plésiosaure</t>
  </si>
  <si>
    <t>Plesiosaurus</t>
  </si>
  <si>
    <t>Poing de Baine</t>
  </si>
  <si>
    <t>Fist of Bane</t>
  </si>
  <si>
    <t>Pony</t>
  </si>
  <si>
    <t>Pouding noir</t>
  </si>
  <si>
    <t>Black Pudding</t>
  </si>
  <si>
    <t>Prédateur d'acier</t>
  </si>
  <si>
    <t>Steel Predator</t>
  </si>
  <si>
    <t>Prestelet</t>
  </si>
  <si>
    <t>Quickling</t>
  </si>
  <si>
    <t>Prêtre</t>
  </si>
  <si>
    <t>Priest</t>
  </si>
  <si>
    <t>War priest</t>
  </si>
  <si>
    <t>Prêtre du kraken</t>
  </si>
  <si>
    <t>Kraken Priest</t>
  </si>
  <si>
    <t>Protecteur de fer</t>
  </si>
  <si>
    <t>Iron Defender</t>
  </si>
  <si>
    <t>Pseudodragon</t>
  </si>
  <si>
    <t>Ptéranodon</t>
  </si>
  <si>
    <t>Pteranodon</t>
  </si>
  <si>
    <t>Punaise de feu géante</t>
  </si>
  <si>
    <t>Giant Fire Beetle</t>
  </si>
  <si>
    <t>Quadrone</t>
  </si>
  <si>
    <t>Quaggoth</t>
  </si>
  <si>
    <t>Humanoïde (quaggoth)</t>
  </si>
  <si>
    <t>Quaggoth, serviteur des spores</t>
  </si>
  <si>
    <t>Quaggoth spore servant</t>
  </si>
  <si>
    <t>Quasit</t>
  </si>
  <si>
    <t>Quetzalcoatlus</t>
  </si>
  <si>
    <t>Quorien hashalaq</t>
  </si>
  <si>
    <t>Hashalaq Quori</t>
  </si>
  <si>
    <t>Quorien kalaraq</t>
  </si>
  <si>
    <t>Kalaraq Quori</t>
  </si>
  <si>
    <t>Quorien tsucora</t>
  </si>
  <si>
    <t>Tsucora Quori</t>
  </si>
  <si>
    <t>Radiant Idol</t>
  </si>
  <si>
    <t>Raie manta de récif</t>
  </si>
  <si>
    <t>Reef Manta Ray</t>
  </si>
  <si>
    <t>Rak Tulkhesh</t>
  </si>
  <si>
    <t>Rakshasa</t>
  </si>
  <si>
    <t>Rakshasa, zakya</t>
  </si>
  <si>
    <t>Zakya Rakshasa</t>
  </si>
  <si>
    <t>Ramasseur de cadavres</t>
  </si>
  <si>
    <t>Cadaver Collector</t>
  </si>
  <si>
    <t>Rat</t>
  </si>
  <si>
    <t>Rat géant</t>
  </si>
  <si>
    <t>Giant Rat</t>
  </si>
  <si>
    <t>Rat-crâne</t>
  </si>
  <si>
    <t>Cranium Rat</t>
  </si>
  <si>
    <t>Rat-garou</t>
  </si>
  <si>
    <t>Wererat</t>
  </si>
  <si>
    <t>Ravageur gris</t>
  </si>
  <si>
    <t>Gray Render</t>
  </si>
  <si>
    <t>Rejeton de Kyuss</t>
  </si>
  <si>
    <t>Spawn of Kyuss</t>
  </si>
  <si>
    <t>Rejeton des abîmes</t>
  </si>
  <si>
    <t>Deep Scion</t>
  </si>
  <si>
    <t>Rejeton des mers</t>
  </si>
  <si>
    <t>Sea Spawn</t>
  </si>
  <si>
    <t>Rejeton des profondeurs, émissaire</t>
  </si>
  <si>
    <t>Core Spawn Emissary</t>
  </si>
  <si>
    <t>Rejeton des profondeurs, prophète</t>
  </si>
  <si>
    <t>Core Spawn Seer</t>
  </si>
  <si>
    <t>Rejeton des profondeurs, ver</t>
  </si>
  <si>
    <t>Core Spawn Worm</t>
  </si>
  <si>
    <t>Rejeton des profondeurs, vermine</t>
  </si>
  <si>
    <t>Core Spawn Crawler</t>
  </si>
  <si>
    <t>Rejeton stellaire, colosse</t>
  </si>
  <si>
    <t>Star Spawn Hulk</t>
  </si>
  <si>
    <t>Rejeton stellaire, frissonneur</t>
  </si>
  <si>
    <t>Star Spawn Grue</t>
  </si>
  <si>
    <t>Rejeton stellaire, mage des larves</t>
  </si>
  <si>
    <t>Star Spawn Larva Mage</t>
  </si>
  <si>
    <t>Rejeton stellaire, mutileur</t>
  </si>
  <si>
    <t>Star Spawn Mangler</t>
  </si>
  <si>
    <t>Rejeton stellaire, prophète</t>
  </si>
  <si>
    <t>Star Spawn Seer</t>
  </si>
  <si>
    <t>Rémorhaz</t>
  </si>
  <si>
    <t>Remorhaz</t>
  </si>
  <si>
    <t>Rémorhaz, jeune</t>
  </si>
  <si>
    <t>Young Remorhaz</t>
  </si>
  <si>
    <t>Requin de récif</t>
  </si>
  <si>
    <t>Reef Shark</t>
  </si>
  <si>
    <t>Requin géant</t>
  </si>
  <si>
    <t>Giant Shark</t>
  </si>
  <si>
    <t>Requin-chasseur</t>
  </si>
  <si>
    <t>Hunter Shark</t>
  </si>
  <si>
    <t>Résineux infecté</t>
  </si>
  <si>
    <t>Needle Blight</t>
  </si>
  <si>
    <t>Revenant</t>
  </si>
  <si>
    <t>Rhinocéros</t>
  </si>
  <si>
    <t>Rhinoceros</t>
  </si>
  <si>
    <t>Roc</t>
  </si>
  <si>
    <t>Lizard King/Queen</t>
  </si>
  <si>
    <t>Rothé zombi</t>
  </si>
  <si>
    <t>Rothé Zombie</t>
  </si>
  <si>
    <t>Roturier</t>
  </si>
  <si>
    <t>Commoner</t>
  </si>
  <si>
    <t>Rotz</t>
  </si>
  <si>
    <t>Rutterkin</t>
  </si>
  <si>
    <t>Sahuagin</t>
  </si>
  <si>
    <t>Humanoïde (sahuagin)</t>
  </si>
  <si>
    <t>Sahuagin, baron</t>
  </si>
  <si>
    <t>Sahuagin Baron</t>
  </si>
  <si>
    <t>Sahuagin, prêtresse</t>
  </si>
  <si>
    <t>Sahuagin Priestess</t>
  </si>
  <si>
    <t>Sahuagin, sorcier d'Uk'otoa</t>
  </si>
  <si>
    <t>Sahuagin, warlock of Uk'otoa</t>
  </si>
  <si>
    <t>Salamandre</t>
  </si>
  <si>
    <t>Salamander</t>
  </si>
  <si>
    <t>Salamandre du givre</t>
  </si>
  <si>
    <t>Frost Salamander</t>
  </si>
  <si>
    <t>Sanglier</t>
  </si>
  <si>
    <t>Boar</t>
  </si>
  <si>
    <t>Sanglier géant</t>
  </si>
  <si>
    <t>Giant Boar</t>
  </si>
  <si>
    <t>Sanglier-garou</t>
  </si>
  <si>
    <t>Wereboar</t>
  </si>
  <si>
    <t>Sanuya</t>
  </si>
  <si>
    <t>Satyre</t>
  </si>
  <si>
    <t>Satyr</t>
  </si>
  <si>
    <t>Sauteur géant</t>
  </si>
  <si>
    <t>Giant Strider</t>
  </si>
  <si>
    <t>Scorpion</t>
  </si>
  <si>
    <t>Scorpion géant</t>
  </si>
  <si>
    <t>Giant Scorpion</t>
  </si>
  <si>
    <t>Seigneur de guerre</t>
  </si>
  <si>
    <t>Warlord</t>
  </si>
  <si>
    <t>Seigneur des crânes</t>
  </si>
  <si>
    <t>Skull Lord</t>
  </si>
  <si>
    <t>Seigneur momie</t>
  </si>
  <si>
    <t>Mummy Lord</t>
  </si>
  <si>
    <t>Selkie</t>
  </si>
  <si>
    <t>Sentinelle d'eau</t>
  </si>
  <si>
    <t>Water Weird</t>
  </si>
  <si>
    <t>Serpent constricteur</t>
  </si>
  <si>
    <t>Constrictor Snake</t>
  </si>
  <si>
    <t>Serpent constricteur géant</t>
  </si>
  <si>
    <t>Giant Constrictor Snake</t>
  </si>
  <si>
    <t>Serpent de feu</t>
  </si>
  <si>
    <t>Fire Snake</t>
  </si>
  <si>
    <t>Serpent venimeux</t>
  </si>
  <si>
    <t>Poisonous Snake</t>
  </si>
  <si>
    <t>Serpent venimeux géant</t>
  </si>
  <si>
    <t>Giant Poisonous Snake</t>
  </si>
  <si>
    <t>Serpent volant</t>
  </si>
  <si>
    <t>Flying Snake</t>
  </si>
  <si>
    <t>Shadar-kai, danseur des ombres</t>
  </si>
  <si>
    <t>Shadow Dancer</t>
  </si>
  <si>
    <t>Shadar-kai, marchand d'âmes</t>
  </si>
  <si>
    <t>Soul Monger</t>
  </si>
  <si>
    <t>Shadar-kai, tisse-ombre</t>
  </si>
  <si>
    <t>Gloom Weaver</t>
  </si>
  <si>
    <t>Shoosuva</t>
  </si>
  <si>
    <t>Sibriex</t>
  </si>
  <si>
    <t>Singe géant</t>
  </si>
  <si>
    <t>Giant Ape</t>
  </si>
  <si>
    <t>Slaad bleu</t>
  </si>
  <si>
    <t>Blue Slaad</t>
  </si>
  <si>
    <t>Slaad funeste</t>
  </si>
  <si>
    <t>Death Slaad</t>
  </si>
  <si>
    <t>Aberration (métamorphe)</t>
  </si>
  <si>
    <t>Slaad gris</t>
  </si>
  <si>
    <t>Gray Slaad</t>
  </si>
  <si>
    <t>Slaad rouge</t>
  </si>
  <si>
    <t>Red Slaad</t>
  </si>
  <si>
    <t>Slaad vert</t>
  </si>
  <si>
    <t>Green Slaad</t>
  </si>
  <si>
    <t>Slaad, têtard</t>
  </si>
  <si>
    <t>Slaad Tadpole</t>
  </si>
  <si>
    <t>Solar</t>
  </si>
  <si>
    <t>Soldat karrnathien mort-vivant</t>
  </si>
  <si>
    <t>Karrnathi Undead Soldier</t>
  </si>
  <si>
    <t>Soldat outre-mort</t>
  </si>
  <si>
    <t>Undying Soldier</t>
  </si>
  <si>
    <t>Sombrelin</t>
  </si>
  <si>
    <t>Darkling</t>
  </si>
  <si>
    <t>Sombrelin, aîné</t>
  </si>
  <si>
    <t>Darkling Elder</t>
  </si>
  <si>
    <t>Sorcemort</t>
  </si>
  <si>
    <t>Deathlock</t>
  </si>
  <si>
    <t>Sorcemort, conspirateur</t>
  </si>
  <si>
    <t>Deathlock Mastermind</t>
  </si>
  <si>
    <t>Sorcemort, nécrophage</t>
  </si>
  <si>
    <t>Deathlock Wight</t>
  </si>
  <si>
    <t>Sorcier d'archifée</t>
  </si>
  <si>
    <t>Warlock of the Archfey</t>
  </si>
  <si>
    <t>Sorcier de fiélon</t>
  </si>
  <si>
    <t>Warlock of the fiend</t>
  </si>
  <si>
    <t>Sorcier de Grand Ancien</t>
  </si>
  <si>
    <t>Warlock of the Great Old One</t>
  </si>
  <si>
    <t>Spectateur</t>
  </si>
  <si>
    <t>Spectator</t>
  </si>
  <si>
    <t>Spectre</t>
  </si>
  <si>
    <t>Specter</t>
  </si>
  <si>
    <t>Spore gazeuse</t>
  </si>
  <si>
    <t>Gas Spore</t>
  </si>
  <si>
    <t>Squelette</t>
  </si>
  <si>
    <t>Skeleton</t>
  </si>
  <si>
    <t>Stirge</t>
  </si>
  <si>
    <t>Strahd von Zarovich</t>
  </si>
  <si>
    <t>Mort-vivant (métamorphe)</t>
  </si>
  <si>
    <t>Succube</t>
  </si>
  <si>
    <t>Succubus</t>
  </si>
  <si>
    <t>Sul Khatesh</t>
  </si>
  <si>
    <t>Sylvanien</t>
  </si>
  <si>
    <t>Treant</t>
  </si>
  <si>
    <t>Tabaxi, chasseur</t>
  </si>
  <si>
    <t>Tabaxi Hunter</t>
  </si>
  <si>
    <t>Humanoïde (tabaxi)</t>
  </si>
  <si>
    <t>Tabaxi, ménestrel</t>
  </si>
  <si>
    <t>Tabaxi Minstrel</t>
  </si>
  <si>
    <t>Tanarukk</t>
  </si>
  <si>
    <t>Fiélon (démon, orque)</t>
  </si>
  <si>
    <t>Tapis étouffant</t>
  </si>
  <si>
    <t>Rug of Smothering</t>
  </si>
  <si>
    <t>Tarasque</t>
  </si>
  <si>
    <t>Tarrasque</t>
  </si>
  <si>
    <t>Tarkanan, assassin</t>
  </si>
  <si>
    <t>Tarkanan Assassin</t>
  </si>
  <si>
    <t>Témoin spirituel</t>
  </si>
  <si>
    <t>Mindwitness</t>
  </si>
  <si>
    <t>Tempête, vénérable</t>
  </si>
  <si>
    <t>Elder Tempest</t>
  </si>
  <si>
    <t>Ténébreux</t>
  </si>
  <si>
    <t>Nightwalker</t>
  </si>
  <si>
    <t>Teril</t>
  </si>
  <si>
    <t>Tertre errant</t>
  </si>
  <si>
    <t>Shambling Mound</t>
  </si>
  <si>
    <t>Tête de mort de Bhaal</t>
  </si>
  <si>
    <t>Death's Head of Bhaal</t>
  </si>
  <si>
    <t>Thaumartisan</t>
  </si>
  <si>
    <t>Magewright</t>
  </si>
  <si>
    <t>Thri-kreen</t>
  </si>
  <si>
    <t>Humanoïde (thri-kreen)</t>
  </si>
  <si>
    <t>Tiamat</t>
  </si>
  <si>
    <t>Tigre</t>
  </si>
  <si>
    <t>Tiger</t>
  </si>
  <si>
    <t>Tigre à dents de sabre</t>
  </si>
  <si>
    <t>Saber-Toothed Tiger</t>
  </si>
  <si>
    <t>Tigre-garou</t>
  </si>
  <si>
    <t>Weretiger</t>
  </si>
  <si>
    <t>Titivilus</t>
  </si>
  <si>
    <t>Tlincalli</t>
  </si>
  <si>
    <t>Tortue gargantuesque</t>
  </si>
  <si>
    <t>Horizonback Tortoise</t>
  </si>
  <si>
    <t>Tortuga</t>
  </si>
  <si>
    <t>Tortle</t>
  </si>
  <si>
    <t>Humanoïde (tortuga)</t>
  </si>
  <si>
    <t>Tortuga, druide</t>
  </si>
  <si>
    <t>Tortle Druid</t>
  </si>
  <si>
    <t>Torve</t>
  </si>
  <si>
    <t>Grimlock</t>
  </si>
  <si>
    <t>Humanoïde (torve)</t>
  </si>
  <si>
    <t>Transmutateur</t>
  </si>
  <si>
    <t>Transmuter</t>
  </si>
  <si>
    <t>Traqueur des ténèbres</t>
  </si>
  <si>
    <t>Gloomstalker</t>
  </si>
  <si>
    <t>Traqueur gluant</t>
  </si>
  <si>
    <t>Slithering Tracker</t>
  </si>
  <si>
    <t>Traqueur invisible</t>
  </si>
  <si>
    <t>Invisible Stalker</t>
  </si>
  <si>
    <t>Tricératops</t>
  </si>
  <si>
    <t>Triceratops</t>
  </si>
  <si>
    <t>Tridrone</t>
  </si>
  <si>
    <t>Triton du feu, guerrier</t>
  </si>
  <si>
    <t>Firenewt Warrior</t>
  </si>
  <si>
    <t>Humanoïde (triton du feu)</t>
  </si>
  <si>
    <t>Triton du feu, sorcier d'Imix</t>
  </si>
  <si>
    <t>Firenewt Warlock of Imix</t>
  </si>
  <si>
    <t>Tritsir</t>
  </si>
  <si>
    <t>Troglodyte</t>
  </si>
  <si>
    <t>Humanoïde (troglodyte)</t>
  </si>
  <si>
    <t>Troll</t>
  </si>
  <si>
    <t>Troll pourrissant</t>
  </si>
  <si>
    <t>Rot Troll</t>
  </si>
  <si>
    <t>Troll psychique</t>
  </si>
  <si>
    <t>Spirit Troll</t>
  </si>
  <si>
    <t>Troll sanguinaire</t>
  </si>
  <si>
    <t>Dire Troll</t>
  </si>
  <si>
    <t>Troll venin</t>
  </si>
  <si>
    <t>Venom Troll</t>
  </si>
  <si>
    <t>Tyramort</t>
  </si>
  <si>
    <t>Death Tyrant</t>
  </si>
  <si>
    <t>Tyrannoeil</t>
  </si>
  <si>
    <t>Beholder</t>
  </si>
  <si>
    <t>Tyrannoeil zombi</t>
  </si>
  <si>
    <t>Beholder Zombie</t>
  </si>
  <si>
    <t>Tyrannosaure</t>
  </si>
  <si>
    <t>Tyrannosaurus Rex</t>
  </si>
  <si>
    <t>Udaak</t>
  </si>
  <si>
    <t>Ulitharid</t>
  </si>
  <si>
    <t>Ultroloth</t>
  </si>
  <si>
    <t>Vache</t>
  </si>
  <si>
    <t>Cow</t>
  </si>
  <si>
    <t>Vajra Safahr</t>
  </si>
  <si>
    <t>Vampire</t>
  </si>
  <si>
    <t>Vampirien</t>
  </si>
  <si>
    <t>Vampire Spawn</t>
  </si>
  <si>
    <t>Vargouille</t>
  </si>
  <si>
    <t>Vase grise</t>
  </si>
  <si>
    <t>Gray Ooze</t>
  </si>
  <si>
    <t>Vautour</t>
  </si>
  <si>
    <t>Vulture</t>
  </si>
  <si>
    <t>Vautour géant</t>
  </si>
  <si>
    <t>Giant Vulture</t>
  </si>
  <si>
    <t>Végépygmée</t>
  </si>
  <si>
    <t>Vegepygmy</t>
  </si>
  <si>
    <t>Végépygmée, chef</t>
  </si>
  <si>
    <t>Vegepygmy Chief</t>
  </si>
  <si>
    <t>Vélociraptor</t>
  </si>
  <si>
    <t>Velociraptor</t>
  </si>
  <si>
    <t>Ver du givre</t>
  </si>
  <si>
    <t>Frost Worm</t>
  </si>
  <si>
    <t>Ver pourpre</t>
  </si>
  <si>
    <t>Purple Worm</t>
  </si>
  <si>
    <t>Vétéran</t>
  </si>
  <si>
    <t>Veteran</t>
  </si>
  <si>
    <t>Viplo</t>
  </si>
  <si>
    <t>Humanoïde (halfelin)</t>
  </si>
  <si>
    <t>Vissepince</t>
  </si>
  <si>
    <t>Meenlock</t>
  </si>
  <si>
    <t>Vrock</t>
  </si>
  <si>
    <t>Wastrilith</t>
  </si>
  <si>
    <t>Wiverne</t>
  </si>
  <si>
    <t>Wyvern</t>
  </si>
  <si>
    <t>Worg</t>
  </si>
  <si>
    <t>Xorn</t>
  </si>
  <si>
    <t>Xvart</t>
  </si>
  <si>
    <t>Humanoïde (xvart)</t>
  </si>
  <si>
    <t>Xvart, sorcier de Raxivort</t>
  </si>
  <si>
    <t>Xvart Warlock of Raxivort</t>
  </si>
  <si>
    <t>Yagnoloth</t>
  </si>
  <si>
    <t>Yeenoghu</t>
  </si>
  <si>
    <t>Yéti</t>
  </si>
  <si>
    <t>Yeti</t>
  </si>
  <si>
    <t>Yéti abominable</t>
  </si>
  <si>
    <t>Abominable Yeti</t>
  </si>
  <si>
    <t>Yochlol</t>
  </si>
  <si>
    <t>Yuan-ti, abomination</t>
  </si>
  <si>
    <t>Yuan-ti Abomination</t>
  </si>
  <si>
    <t>Créature monstrueuse (métamorphe, yuan-ti)</t>
  </si>
  <si>
    <t>Yuan-ti, anathème</t>
  </si>
  <si>
    <t>Yuan-ti Anathema</t>
  </si>
  <si>
    <t>Yuan-ti, annonciateur de cauchemars</t>
  </si>
  <si>
    <t>Yuan-ti Nightmare Speaker</t>
  </si>
  <si>
    <t>Yuan-ti, chuchoteur de consciences</t>
  </si>
  <si>
    <t>Yuan-ti Mind Whisperer</t>
  </si>
  <si>
    <t>Yuan-ti, garde des couvés</t>
  </si>
  <si>
    <t>Yuan-ti Broodguard</t>
  </si>
  <si>
    <t>Yuan-ti, maître des fosses</t>
  </si>
  <si>
    <t>Yuan-ti Pit Master</t>
  </si>
  <si>
    <t>Yuan-ti, malison</t>
  </si>
  <si>
    <t>Yuan-ti Malison</t>
  </si>
  <si>
    <t>Yuan-ti, sang-pur</t>
  </si>
  <si>
    <t>Yuan-ti Pureblood</t>
  </si>
  <si>
    <t>Zaratan</t>
  </si>
  <si>
    <t>Zariel</t>
  </si>
  <si>
    <t>Zombi</t>
  </si>
  <si>
    <t>Zombie</t>
  </si>
  <si>
    <t>Zombi desséché</t>
  </si>
  <si>
    <t>Husk Zombie</t>
  </si>
  <si>
    <t>Zuggtmoy</t>
  </si>
  <si>
    <t>"1/4"</t>
  </si>
  <si>
    <t>"1/8"</t>
  </si>
  <si>
    <t>"1/2"</t>
  </si>
  <si>
    <t>Sous race</t>
  </si>
  <si>
    <t>Emplacements bonus</t>
  </si>
  <si>
    <t>Classes d'emplacement bonus</t>
  </si>
  <si>
    <t>Sorts</t>
  </si>
  <si>
    <t>"Thaumaturgie"</t>
  </si>
  <si>
    <t>"Représailles infernales"</t>
  </si>
  <si>
    <t>"Ténèbres"</t>
  </si>
  <si>
    <t>"Illusion mineure"</t>
  </si>
  <si>
    <t>"Lumière"</t>
  </si>
  <si>
    <t>"MAGICIAN"</t>
  </si>
  <si>
    <t>"BARD", "CLERK", "DRUID", "SORCERER", "WARRIOR", "MAGICIAN", "PALADIN", "PROWLER", "WILY", "WIZARD"</t>
  </si>
  <si>
    <t>"BARD", "SORCERER", "MAGICIAN", "OCCULT_KNIGHT", "ARCANE_SWINDLER", "ARCHFAIRY"</t>
  </si>
  <si>
    <t>"BARD", "CLERK", "ARCHFAIRY"</t>
  </si>
  <si>
    <t>"BARD", "DRUID", "PROWLER", "ARCHFAIRY"</t>
  </si>
  <si>
    <t>"CLERK", "PALADIN", "FIENDISH"</t>
  </si>
  <si>
    <t>"SORCERER", "MAGICIAN", "OCCULT_KNIGHT", "ARCANE_SWINDLER", "FIENDISH"</t>
  </si>
  <si>
    <t>"BARD", "CLERK", "SORCERER", "MAGICIAN", "OCCULT_KNIGHT", "ARCANE_SWINDLER", "FIENDISH"</t>
  </si>
  <si>
    <t>"BARD", "SORCERER", "MAGICIAN", "OCCULT_KNIGHT", "ARCANE_SWINDLER", "FIENDISH"</t>
  </si>
  <si>
    <t>"MAGICIAN", "OCCULT_KNIGHT", "ARCANE_SWINDLER", "FIENDISH"</t>
  </si>
  <si>
    <t>"DRUID", "SORCERER", "MAGICIAN", "OCCULT_KNIGHT", "ARCANE_SWINDLER", "FIENDISH"</t>
  </si>
  <si>
    <t xml:space="preserve"> "CLERK", "FIENDISH"</t>
  </si>
  <si>
    <t>"BARD", "MAGICIAN", "OCCULT_KNIGHT", "ARCANE_SWINDLER", "GREAT_OLD"</t>
  </si>
  <si>
    <t>"BARD", "GREAT_OLD"</t>
  </si>
  <si>
    <t>"BARD", "SORCERER", "MAGICIAN", "OCCULT_KNIGHT", "ARCANE_SWINDLER", "GREAT_OLD"</t>
  </si>
  <si>
    <t>"BARD", "SORCERER", "MAGICIAN", "OCCULT_KNIGHT", "ARCANE_SWINDLER", "ARCHFAIRY", "GREAT_OLD"</t>
  </si>
  <si>
    <t>"BARD",  "CLERK", "SORCERER", "MAGICIAN", "OCCULT_KNIGHT", "ARCANE_SWINDLER", "GREAT_OLD"</t>
  </si>
  <si>
    <t>"BARD",  "CLERK", "MAGICIAN", "OCCULT_KNIGHT", "ARCANE_SWINDLER", "GREAT_OLD"</t>
  </si>
  <si>
    <t>"DRUID", "SORCERER", "ARCHFAIRY", "GREAT_OLD"</t>
  </si>
  <si>
    <t>"MAGICIAN", "OCCULT_KNIGHT", "ARCANE_SWINDLER", "GREAT_OLD"</t>
  </si>
  <si>
    <t>"SORCERER", "MAGICIAN", "OCCULT_KNIGHT", "ARCANE_SWINDLER", "GREAT_OLD"</t>
  </si>
  <si>
    <t>SpellsComplements</t>
  </si>
  <si>
    <t>Famille</t>
  </si>
  <si>
    <t>Titan</t>
  </si>
  <si>
    <t>Inévitable</t>
  </si>
  <si>
    <t>Yuan-ti</t>
  </si>
  <si>
    <t>Démon</t>
  </si>
  <si>
    <t>Diable</t>
  </si>
  <si>
    <t>Yugoloth</t>
  </si>
  <si>
    <t>Demi-elfe</t>
  </si>
  <si>
    <t>Forgelier</t>
  </si>
  <si>
    <t>Gith</t>
  </si>
  <si>
    <t>Gobelinoïde</t>
  </si>
  <si>
    <t>sahuagin</t>
  </si>
  <si>
    <t>Tabaxi</t>
  </si>
  <si>
    <t>Triton du feu</t>
  </si>
  <si>
    <t>Espèce</t>
  </si>
  <si>
    <t>HALF-ELF</t>
  </si>
  <si>
    <t>DAEMON</t>
  </si>
  <si>
    <t>CHANGELIN</t>
  </si>
  <si>
    <t>BRUTAL</t>
  </si>
  <si>
    <t>DERRO</t>
  </si>
  <si>
    <t>DEVIL</t>
  </si>
  <si>
    <t>FERAL</t>
  </si>
  <si>
    <t>GIANT_HILLS</t>
  </si>
  <si>
    <t>GIANT_CLOUDS</t>
  </si>
  <si>
    <t>GIANT_STONES</t>
  </si>
  <si>
    <t>GIANT_STORMS</t>
  </si>
  <si>
    <t>GIANT_FIRE</t>
  </si>
  <si>
    <t>GIANT_FROSTED</t>
  </si>
  <si>
    <t>GITH</t>
  </si>
  <si>
    <t>GNOLL</t>
  </si>
  <si>
    <t>GOBELINOID</t>
  </si>
  <si>
    <t>GRUNG</t>
  </si>
  <si>
    <t>LIZARD_MAN</t>
  </si>
  <si>
    <t>FISH_MAN</t>
  </si>
  <si>
    <t>INEVITABLE</t>
  </si>
  <si>
    <t>KALASHTAR</t>
  </si>
  <si>
    <t>KENKU</t>
  </si>
  <si>
    <t>KEBOLD</t>
  </si>
  <si>
    <t>MEAZEL</t>
  </si>
  <si>
    <t>METAMORPH</t>
  </si>
  <si>
    <t>NAGPA</t>
  </si>
  <si>
    <t>QUAGGOTH</t>
  </si>
  <si>
    <t>SAHUAGIN</t>
  </si>
  <si>
    <t>TABAXI</t>
  </si>
  <si>
    <t>THRI_KREEN</t>
  </si>
  <si>
    <t>TITAN</t>
  </si>
  <si>
    <t>TORTUGA</t>
  </si>
  <si>
    <t>TORVE</t>
  </si>
  <si>
    <t>FIRE_NEWT</t>
  </si>
  <si>
    <t>TROGLODYTE</t>
  </si>
  <si>
    <t>XVART</t>
  </si>
  <si>
    <t>YUAN_TI</t>
  </si>
  <si>
    <t>YUGOLOTH</t>
  </si>
  <si>
    <t>DRAGON</t>
  </si>
  <si>
    <t>FAIRY</t>
  </si>
  <si>
    <t>FIEND</t>
  </si>
  <si>
    <t>HUMANOID</t>
  </si>
  <si>
    <t>UNDEAD</t>
  </si>
  <si>
    <t>MUD</t>
  </si>
  <si>
    <t>PLANT</t>
  </si>
  <si>
    <t>BEAST</t>
  </si>
  <si>
    <t>ABERRATION</t>
  </si>
  <si>
    <t>ARTIFICIAL_CREATURE</t>
  </si>
  <si>
    <t>MONSTROUS_CREATURE</t>
  </si>
  <si>
    <t>ELEMENTARY</t>
  </si>
  <si>
    <t>CLOUD_BEASTS</t>
  </si>
  <si>
    <t>CLOUD_HUMANOID</t>
  </si>
  <si>
    <t>METAMORPH, YUAN_TI</t>
  </si>
  <si>
    <t>DAEMON, METAMORPH</t>
  </si>
  <si>
    <t>HUMAN, METAMORPH</t>
  </si>
  <si>
    <t>DAZMON, ORC</t>
  </si>
  <si>
    <t>Nuée d'humanoïdes (gobelinoïde)</t>
  </si>
  <si>
    <t>Nuée d'humanoïdes</t>
  </si>
  <si>
    <t>Nuée de bêtes</t>
  </si>
  <si>
    <t>DEVIL, METAMORPH</t>
  </si>
  <si>
    <t>CHANGELIN, METAMORPH</t>
  </si>
  <si>
    <t>MonsterFamilies</t>
  </si>
  <si>
    <t>MonsterSpecies</t>
  </si>
  <si>
    <t>Monsters</t>
  </si>
  <si>
    <t>Roi-reine lézard</t>
  </si>
  <si>
    <t>Alignements</t>
  </si>
  <si>
    <t>Neutre bon</t>
  </si>
  <si>
    <t>5_NN</t>
  </si>
  <si>
    <t>"COMMON", "QUORIAN"</t>
  </si>
  <si>
    <t>QUORIAN</t>
  </si>
  <si>
    <t>Quorien</t>
  </si>
  <si>
    <t>Feral</t>
  </si>
  <si>
    <t>"Perception"</t>
  </si>
  <si>
    <t>WARFORGED</t>
  </si>
  <si>
    <t>Warforged</t>
  </si>
  <si>
    <t>Changement d'apparence</t>
  </si>
  <si>
    <t>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t>
  </si>
  <si>
    <t>Instincts de changelin</t>
  </si>
  <si>
    <t>Vous gagnez la maîtrise de deux des compétences suivantes de votre choix : Intimidation, Perspicacité, Persuasion ou Tromperie.</t>
  </si>
  <si>
    <t>Visage dérangeant</t>
  </si>
  <si>
    <t>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t>
  </si>
  <si>
    <t>Personnage divergent</t>
  </si>
  <si>
    <t>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t>
  </si>
  <si>
    <t>Dualité</t>
  </si>
  <si>
    <t>Lorsque vous effectuez un jet de sauvegarde de Sagesse, vous pouvez utiliser votre réaction pour obtenir un avantage sur le jet. Vous pouvez utiliser ce trait immédiatement avant ou après avoir lancé les dés, mais avant que les effets du jet ne se produisent.</t>
  </si>
  <si>
    <t>Discipline mental</t>
  </si>
  <si>
    <t>Vous avez la résistance aux dégâts psychiques.</t>
  </si>
  <si>
    <t>Lien de l'esprit</t>
  </si>
  <si>
    <t>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moins de vous et être capable de vous voir.</t>
  </si>
  <si>
    <t>Glamour psychique</t>
  </si>
  <si>
    <t>Choisissez l'une des compétences suivantes : Perspicacité, Intimidation, Représentation ou Persuasion. Vous avez un avantage à tous vos jets de caractéristiques faits avec cette compétence.</t>
  </si>
  <si>
    <t>Séparé des rêves</t>
  </si>
  <si>
    <t>Les kalashtars dorment mais ne se connectent pas au plan des rêves comme les autres créatures. Au lieu de cela, leur esprit puise dans les souvenirs de leur esprit d'un autre monde pendant leur sommeil. En tant que tel, vous êtes immunisé contre les sorts et autres effets magiques qui vous obligent à rêver, comme le sort rêve, mais pas aux sorts et aux effets qui vous endorment, comme le sort de sommeil.</t>
  </si>
  <si>
    <t>Vous pouvez voir avec une lumière faible jusqu'à 18 mètres comme vous verriez avec une lumière vive, et dans le noir comme vous verriez avec une lumière faible. Dans le noir, vous ne discernez pas les couleurs, uniquement des nuances de gris.</t>
  </si>
  <si>
    <t>Changement</t>
  </si>
  <si>
    <t>Par une action bonus, vous pouvez prendre une apparence plus bestiale. La transformation dure 1 minute, jusqu'à ce que vous mouriez, ou jusqu'à ce que vous reveniez à votre apparence normale par une action bonus. Pendant le changement, vous gagnez des points de vie temporaires égaux à votre niveau + votre bonus de Constitution (minimum 1 pv temporaire). Vous gagnez aussi des caractéristiques qui dépendent de votre sous-race de féral. Vous devez terminer un repos court ou long avant de pouvoir utiliser à nouveau la capacité de Changement.</t>
  </si>
  <si>
    <t>Résistance des forgeliers</t>
  </si>
  <si>
    <t>Vous avez été créé pour avoir une force étonnante, qui est représentée par les avantages suivants :
Vous avez un avantage aux jets de sauvegarde contre la condition empoisonné et la résistance aux dégâts de poison.
Vous n'avez pas besoin de manger, ni de boire ni de respirer.
Vous êtes immunisé contre les maladies.
Vous n'avez pas besoin de dormir et la magie ne peut pas vous endormir.</t>
  </si>
  <si>
    <t>Repos de la sentinelle</t>
  </si>
  <si>
    <t>Lorsque vous prenez un repos long, vous devez passer au moins six heures dans un état inactif et immobile plutôt que de dormir. Dans cet état, vous semblez inerte, mais cela ne vous rend pas inconscient, et vous pouvez voir et entendre normalement.</t>
  </si>
  <si>
    <t>Protection intégrée</t>
  </si>
  <si>
    <t>Votre corps possède des couches de protection intégrée qui peuvent être améliorées par une armure :
Vous gagnez un bonus de +1 à la Classe d'Armure.
Vous ne pouvez mettre une armure que si vous la maîtrisez. Pour mettre une armure, vous devez l'incorporer à votre corps. Cela vous prend 1 heure, durant laquelle vous restez en contact avec l'armure. Quitter une armure vous prend également 1 heure. Vous pouvez vous reposer pendant que vous mettez ou quittez une armure de cette manière.
Tant que vous êtes en vie, votre armure ne peut pas être quittée de votre corps contre votre volonté.</t>
  </si>
  <si>
    <t>Conception spécialisée</t>
  </si>
  <si>
    <t>Vous obtenez la maîtrise d'une compétence de votre choix et d'un outil de votre choix.</t>
  </si>
  <si>
    <t>LOXODON</t>
  </si>
  <si>
    <t>Loxodon</t>
  </si>
  <si>
    <t>Armure naturelle</t>
  </si>
  <si>
    <t>Vous avez une peau épaisse et coriace. Lorsque vous ne portez pas d'armure, votre CA est de 13 + votre modificateur de Dextérité. Vous pouvez utiliser votre armure naturelle pour déterminer votre CA si l'armure que vous portez vous laisse avec une CA inférieure. Les avantages du bouclier s'appliquent normalement.</t>
  </si>
  <si>
    <t>Courage loxodon</t>
  </si>
  <si>
    <t>Vous avez un avantage aux jets de sauvegarde effectués pour ne pas être effrayé.</t>
  </si>
  <si>
    <t>Maçon compétent</t>
  </si>
  <si>
    <t>Vous maîtrisez les outils de maçon.</t>
  </si>
  <si>
    <t>Odorat précis</t>
  </si>
  <si>
    <t>Grâce à la sensibilité de votre trompe, vous avez un avantage aux jets de Sagesse (Perception) et d'Intelligence (Investigation) basés sur l'odeur.</t>
  </si>
  <si>
    <t>Vous comptez comme une taille plus grande pour déterminer votre capacité de charge et le poids que vous pouvez pousser, traîner ou soulever.</t>
  </si>
  <si>
    <t>SIMIC</t>
  </si>
  <si>
    <t>Simic</t>
  </si>
  <si>
    <t>Améliorations animales</t>
  </si>
  <si>
    <t>Votre corps a été modifié pour incorporer certaines caractéristiques animales. Choisissez une amélioration animale maintenant.
Adaptation aquatique. Vous pouvez respirer de l'air ou de l'eau, et vous avez une vitesse de nage égale à votre vitesse de marche.
Glissade de la raie manta. Vos ailes de raie peuvent ralentir votre chute vous permettre de glisser. Quand vous tombez et n'êtes pas neutralisé, vous pouvez soustraire jusqu'à 30 mètres de la hauteur de chute lors du calcul des dégâts subis, et vous pouvez vous déplacer jusqu'à 2 mètres horizontalement pour chaque mètre que vous descendez.
Grimpeur Agile. Vous avez une vitesse d'escalade égale à votre vitesse de marche.</t>
  </si>
  <si>
    <t>Choisissez l'une des options suivantes ou choisissez une des options que vous n'avez pas prises au niveau 1 :
Appendices de lutte. Un appendice spécial pousse à côté de chacun de vos bras, vous donnant l'apparence d'un être pourvu de quatre membres supérieurs. Ces appendices sont capables d'infliger des blessures conséquentes et de saisir vos adversaires. Choisissez s'il s'agit d'une paire de longues griffes chitineuses, ou d'une paire de tentacules. Chacun de ces appendices est une arme naturelle, que vous pouvez utiliser pour faire des attaques à mains nues. Si vous touchez, la cible subit des dégâts contondants ou tranchants (selon votre choix) égaux à 1d6 + votre modificateur de Force, au lieu des dégâts normaux d'une attaque réussie à mains nues. Immédiatement après avoir frappé, vous pouvez essayer d'empoigner la cible sur une action bonus. Les appendices sont incapables d'une manipulation de précision, et ne peuvent pas utiliser des armes, des objets magiques, ou autres équipements spécialisés.
Carapace. Votre peau à certains endroits est couverte par une épaisse coquille minérale, à l'instar d'un crabe ou d'un coquillage. Vous gagnez un bonus de +1 à la CA lorsque vous ne portez pas d'armure lourde. Cette amélioration n'est pas cumulable à Peau translucide.
Crachat acide. Sur une action, vous pouvez pulvériser un jet d'acide de vos glandes buccales, en ciblant une créature ou un objet que vous pouvez voir et situé à 9 mètres ou moins de vous. La cible doit réussir un jet de sauvegarde de Dextérité contre un DD égal à 8 + votre modificateur de Constitution + votre bonus de maîtrise, ou subir 2d10 dégâts d'acide. Les dégâts passent à 3d10 quand vous atteignez le niveau 11, et à 4d10 au niveau 17 (4d10).</t>
  </si>
  <si>
    <t>Vedalken</t>
  </si>
  <si>
    <t>VEDALKEN</t>
  </si>
  <si>
    <t>Calme vedalken</t>
  </si>
  <si>
    <t>Vous avez un avantage à tous vos jets de sauvegarde d'Intelligence, de Sagesse et de Charisme.</t>
  </si>
  <si>
    <t>Précis sans effort</t>
  </si>
  <si>
    <t>Vous maîtrisez une des compétences suivantes (choisissez) : Arcanes, Escamotage, Histoire, Investigation, Médecine ou Représentation. Vous maîtrisez également un outil de votre choix. De plus, chaque fois que vous faites un jet de caractéristique avec la compétence ou l'outil choisi, lancez un d4 et ajoutez le résultat au total.</t>
  </si>
  <si>
    <t>Viashino</t>
  </si>
  <si>
    <t>VIASHINO</t>
  </si>
  <si>
    <t>Morsure</t>
  </si>
  <si>
    <t>Votre gueule garnie de crocs est une arme naturelle, que vous pouvez utiliser pour faire des attaques sans arme. Si vous touchez, vous infligez 1d4 + votre modificateur de Force dégâts perforants, au lieu des dégâts contondants normaux pour une attaque à mains nues.</t>
  </si>
  <si>
    <t>Queue fouettante</t>
  </si>
  <si>
    <t>Votre queue semi-préhensile est munie d'une lame osseuse. Immédiatement après qu'une créature à 1,50 mètre ou moins de vous vous inflige des dégâts avec une attaque de corps à corps, vous pouvez utiliser votre réaction pour faire la frapper à mains nues avec votre queue. Si vous touchez, vous infligez des dégâts tranchants égaux à 1d4 + votre modificateur de Force, au lieu des dégâts contondants normaux pour une attaque à mains nues.</t>
  </si>
  <si>
    <t>Musculature nerveuse</t>
  </si>
  <si>
    <t>LEONID</t>
  </si>
  <si>
    <t>Léonide</t>
  </si>
  <si>
    <t>Leonid</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</si>
  <si>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"Sens Aiguisés":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</si>
  <si>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"Sens Aiguisés"</t>
  </si>
  <si>
    <t>Vous maîtrisez la compétence Sens aiguisés.</t>
  </si>
  <si>
    <t>Rage de lion</t>
  </si>
  <si>
    <t>Par une action bonus, vous pouvez faire ressortir le fauve qui est en vous. La rage ure 1 minute, jusqu'à ce que vous mouriez, ou jusqu'à ce que vous repreniez votre calme normale par une action bonus. Pendant la rage, vous gagnez des points de vie temporaires égaux à votre niveau + votre bonus de Constitution (minimum 1 pv temporaire). Vous devez terminer un repos court ou long avant de pouvoir utiliser à nouveau la capacité de Changement.</t>
  </si>
  <si>
    <t>AVARIEL</t>
  </si>
  <si>
    <t>Avariel</t>
  </si>
  <si>
    <t>GRUGACH</t>
  </si>
  <si>
    <t>Grugach</t>
  </si>
  <si>
    <t>"ELVISH"</t>
  </si>
  <si>
    <t>Elfe aquatique</t>
  </si>
  <si>
    <t>Aquatic Elf</t>
  </si>
  <si>
    <t>AQUATIC</t>
  </si>
  <si>
    <t>Aquatique</t>
  </si>
  <si>
    <t>Efle aquatique</t>
  </si>
  <si>
    <t>"COMMON", "AQUATIC"</t>
  </si>
  <si>
    <t>"COMMON", "AIR"</t>
  </si>
  <si>
    <t>"SILVAN"</t>
  </si>
  <si>
    <t>"Lance", "Arc court", "Arc long", "Filet"</t>
  </si>
  <si>
    <t>AQUATIC_ELF</t>
  </si>
  <si>
    <t>Shadar-kai</t>
  </si>
  <si>
    <t>SHADAR_KAI</t>
  </si>
  <si>
    <t>Sorts mineurs</t>
  </si>
  <si>
    <t>Vous connaissez un sort mineur de votre choix parmi la liste des sorts mineurs de druide. La Sagesse est votre caractéristique d'incantation pour ces sorts.</t>
  </si>
  <si>
    <t>Enfant de la mer</t>
  </si>
  <si>
    <t>Vous avez une vitesse de nage de 9 mètres, et vous pouvez respirer sous l'eau comme dans l'air.</t>
  </si>
  <si>
    <t>Ami de la mer</t>
  </si>
  <si>
    <t>À l'aide de gestes et de sons, vous pouvez communiquer des idées simples à des créatures de taille Petite ou inférieure qui ont une vitesse de nage innée.</t>
  </si>
  <si>
    <t>Vous avez une vitesse de vol de 9 mètres. Pour utiliser cette vitesse, vous ne devez pas porter d'armure intermédiaire ou lourde.</t>
  </si>
  <si>
    <t>Vous connaissez un sort mineur de votre choix parmi contact glacial, stabilisation et thaumaturgie. Le Charisme est votre caractéristique d'incantation pour ces sorts.</t>
  </si>
  <si>
    <t>Bénédiction de la Reine Corneille</t>
  </si>
  <si>
    <t>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t>
  </si>
  <si>
    <t>Tieffelin - Ascendence Asmodée</t>
  </si>
  <si>
    <t>Tieffling - Ascending Asmodeus</t>
  </si>
  <si>
    <t>TIEFFLING_ASMODEUS</t>
  </si>
  <si>
    <t>Tieffelin - Ascendence Belzébuth</t>
  </si>
  <si>
    <t>Tieffling - Ascending Beelzebub</t>
  </si>
  <si>
    <t>TIEFFLING_BEELZEBUB</t>
  </si>
  <si>
    <t>Tieffelin - Ascendence Dispater</t>
  </si>
  <si>
    <t>Tieffling - Ascending Dispat</t>
  </si>
  <si>
    <t>TIEFFLING_DISPAT</t>
  </si>
  <si>
    <t>Tieffelin - Ascendence Fierna</t>
  </si>
  <si>
    <t>Tieffling - Ascending Fierna</t>
  </si>
  <si>
    <t>TIEFFLING_FIERNA</t>
  </si>
  <si>
    <t>Tieffelin - Ascendence Glasya</t>
  </si>
  <si>
    <t>Tieffling - Ascending Glasya</t>
  </si>
  <si>
    <t>TIEFFLING_GLASYA</t>
  </si>
  <si>
    <t>Tieffling - Ascending Levistus</t>
  </si>
  <si>
    <t>Tieffelin - Ascendence Levistus</t>
  </si>
  <si>
    <t>TIEFFLING_LEVISTUS</t>
  </si>
  <si>
    <t>Tieffelin - Ascendence Mammon</t>
  </si>
  <si>
    <t>Tieffling - Ascending Mammon</t>
  </si>
  <si>
    <t>TIEFFLING_MAMMON</t>
  </si>
  <si>
    <t>Tieffelin - Ascendence Méphistophélès</t>
  </si>
  <si>
    <t>Tieffling - Ascending Mephistopheles</t>
  </si>
  <si>
    <t>TIEFFLING_MEPHISTOPHELES</t>
  </si>
  <si>
    <t>Tieffling - Ascending Zariel</t>
  </si>
  <si>
    <t>Tieffelin - Ascendence Zariel</t>
  </si>
  <si>
    <t>TIEFFLING_ZARIEL</t>
  </si>
  <si>
    <t>Veldaken</t>
  </si>
  <si>
    <t>CHANGELING</t>
  </si>
  <si>
    <t>Ascendance de Maladomini</t>
  </si>
  <si>
    <t>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t>
  </si>
  <si>
    <t>"Rayon empoisonné"</t>
  </si>
  <si>
    <t>"Couronne du dément"</t>
  </si>
  <si>
    <t>Ascendance de Dis</t>
  </si>
  <si>
    <t>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t>
  </si>
  <si>
    <t>Ascendance de Phlegethos</t>
  </si>
  <si>
    <t>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t>
  </si>
  <si>
    <t>Ascendance de Malbolge</t>
  </si>
  <si>
    <t>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t>
  </si>
  <si>
    <t>Ascendance de Stygia</t>
  </si>
  <si>
    <t>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t>
  </si>
  <si>
    <t>Ascendance de Minauros</t>
  </si>
  <si>
    <t>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t>
  </si>
  <si>
    <t>Ascendance de Cania</t>
  </si>
  <si>
    <t>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t>
  </si>
  <si>
    <t>Ascendance d'Avernus</t>
  </si>
  <si>
    <t>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t>
  </si>
  <si>
    <t>Perspicacité infernale</t>
  </si>
  <si>
    <t>(Recharge après un repos court ou long). En tant qu'action bonus, la créature gagne un avantage pour ses jets de caractéristique et ses jets d'attaque effectués jusqu'à la fin du tour en cours.</t>
  </si>
  <si>
    <t>"Déguisement"</t>
  </si>
  <si>
    <t>"Invisibilité"</t>
  </si>
  <si>
    <t>"Amis"</t>
  </si>
  <si>
    <t>"Charme-personne"</t>
  </si>
  <si>
    <t>"Suggestion"</t>
  </si>
  <si>
    <t>"Armure d‘Agathys"</t>
  </si>
  <si>
    <t>"Rayon de froid"</t>
  </si>
  <si>
    <t>"Main de mage"</t>
  </si>
  <si>
    <t>"Disque flottant de Tenser"</t>
  </si>
  <si>
    <t>"Verrou magique"</t>
  </si>
  <si>
    <t>"Châtiment ardent"</t>
  </si>
  <si>
    <t>"Châtiment lumineux"</t>
  </si>
  <si>
    <t>"Missile magique"</t>
  </si>
  <si>
    <t>"Toile d'araignée"</t>
  </si>
  <si>
    <t>"Lance", "Arbalète légère", "Trident", "Filet"</t>
  </si>
  <si>
    <t>Améliorations animales II</t>
  </si>
  <si>
    <t>Féral - Peau de bête</t>
  </si>
  <si>
    <t>Feral - Animal skin</t>
  </si>
  <si>
    <t>Féral - Longues dents</t>
  </si>
  <si>
    <t>Feral - Long teeth</t>
  </si>
  <si>
    <t>Féral - Longue foulée</t>
  </si>
  <si>
    <t>Feral - Long stride</t>
  </si>
  <si>
    <t>Féral - Traque sauvage</t>
  </si>
  <si>
    <t>Feral - Wild hunt</t>
  </si>
  <si>
    <t>FERAL_ANIMAL_SKIN</t>
  </si>
  <si>
    <t>FERAL_LONG_TEETH</t>
  </si>
  <si>
    <t>FERAL_LONG_STRIDE</t>
  </si>
  <si>
    <t>FERAL_WILD_HUNT</t>
  </si>
  <si>
    <t>"Athlétisme"</t>
  </si>
  <si>
    <t>"Intimidation"</t>
  </si>
  <si>
    <t>"Survie"</t>
  </si>
  <si>
    <t>Léonide - Peau dur</t>
  </si>
  <si>
    <t>Leonid - Hard skin</t>
  </si>
  <si>
    <t>Léonide - Foulée féline</t>
  </si>
  <si>
    <t>Leonid - Feline stride</t>
  </si>
  <si>
    <t>Léonide - Crocs accérées</t>
  </si>
  <si>
    <t>Leonid - Fanged Fangs</t>
  </si>
  <si>
    <t>Léonide - Prédateur chasseur</t>
  </si>
  <si>
    <t>Leonid - Hunter predator</t>
  </si>
  <si>
    <t>LEONID_FELINE_STRIDE</t>
  </si>
  <si>
    <t>LEONID_FANGED_FANGS</t>
  </si>
  <si>
    <t>LEONID_HARD_SKIN</t>
  </si>
  <si>
    <t>Traqueur inné</t>
  </si>
  <si>
    <t>Vous maîtrisez la compétence Survie.</t>
  </si>
  <si>
    <t>Fixer le parfum</t>
  </si>
  <si>
    <t>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t>
  </si>
  <si>
    <t>Capacité de Rage</t>
  </si>
  <si>
    <t>Pendant votre changement, vous gagnez un avantage aux jets de Sagesse.</t>
  </si>
  <si>
    <t>Pendant votre changement, votre vitesse de marche augmente de 1,50 mètre. De plus, vous pouvez vous déplacer de 3 mètres en réaction à un ennemi qui termine son tour à 1,50 mètre ou moins de vous. Ce mouvement ne provoque pas d'attaques d'opportunité.</t>
  </si>
  <si>
    <t>Foulée rapide</t>
  </si>
  <si>
    <t>Votre vitesse de marche augmente de 1,50 mètre.</t>
  </si>
  <si>
    <t>Gracieux</t>
  </si>
  <si>
    <t>Pendant votre changement, vous pouvez utiliser vos crocs pour réaliser une attaque à mains nues avec une action bonus. Si vous touchez, vous infligez 1d6 + votre modificateur de Force de dégâts perforants au lieu des dégâts contondants classiques d'une attaque à mains nues.</t>
  </si>
  <si>
    <t>Furieux</t>
  </si>
  <si>
    <t>Vous maîtrisez la compétence Intimidation.</t>
  </si>
  <si>
    <t>Lors de votre changement, vous gagnez 1d6 points de vie temporaires additionnels et un bonus de +1 a la CA.</t>
  </si>
  <si>
    <t>Robuste</t>
  </si>
  <si>
    <t>LEONID_HUNTER_PREDATOR</t>
  </si>
  <si>
    <t>Capacité de changement</t>
  </si>
  <si>
    <t>TIEFFLING_0</t>
  </si>
  <si>
    <t>"Acrobatie"</t>
  </si>
  <si>
    <t>Vous maîtrisez la compétence Acrobatie.</t>
  </si>
  <si>
    <t>Vous gagnez la maîtrise de la compétence Acrobatie ou celle de la compétence Discrétion (vous choisissez).</t>
  </si>
  <si>
    <t>Drakéide - Ascendence dragon airain</t>
  </si>
  <si>
    <t>ARTIFICER</t>
  </si>
  <si>
    <t>Artificier</t>
  </si>
  <si>
    <t>Artificer</t>
  </si>
  <si>
    <t>"Outils de voleur", "Outils de bricoleur"</t>
  </si>
  <si>
    <t>"CON", "INT"</t>
  </si>
  <si>
    <t>Imprégnations connues</t>
  </si>
  <si>
    <t>Objets imprégnés</t>
  </si>
  <si>
    <t>"Incantations", "Bricolage magique"</t>
  </si>
  <si>
    <t>"Imprégnation d'objet"</t>
  </si>
  <si>
    <t>"Spécialité d'artificier", "Outil adéquat"</t>
  </si>
  <si>
    <t>"Capacité de la spécialité d'artificier"</t>
  </si>
  <si>
    <t>"Expertise d'outil"</t>
  </si>
  <si>
    <t>"Éclair de génie"</t>
  </si>
  <si>
    <t>"Expert en objets magiques"</t>
  </si>
  <si>
    <t>"Objet stockeur de sort"</t>
  </si>
  <si>
    <t>"Érudit en objets magiques"</t>
  </si>
  <si>
    <t>"Maître des objets magiques"</t>
  </si>
  <si>
    <t>"L'artifice dans l'âme"</t>
  </si>
  <si>
    <t>"ARTIFICER", "BARD", "SORCERER", "MAGICIAN", "OCCULT_KNIGHT", "ARCANE_SWINDLER", "WIZARD"</t>
  </si>
  <si>
    <t>"ARTIFICER", "SORCERER", "MAGICIAN", "OCCULT_KNIGHT", "ARCANE_SWINDLER"</t>
  </si>
  <si>
    <t>"ARTIFICER", "CLERK", "DRUID"</t>
  </si>
  <si>
    <t>"ARTIFICER", "BARD", "DRUID", "SORCERER", "MAGICIAN", "OCCULT_KNIGHT", "ARCANE_SWINDLER", "WIZARD"</t>
  </si>
  <si>
    <t>"ARTIFICER", "DRUID", "SORCERER", "MAGICIAN", "OCCULT_KNIGHT", "ARCANE_SWINDLER", "WIZARD"</t>
  </si>
  <si>
    <t>"ARTIFICER", "DRUID"</t>
  </si>
  <si>
    <t>"ARTIFICER", "CLERK", "DRUID", "SORCERER", "MAGICIAN", "OCCULT_KNIGHT", "ARCANE_SWINDLER", "WIZARD"</t>
  </si>
  <si>
    <t>"ARTIFICER", "BARD", "CLERK", "SORCERER", "MAGICIAN", "OCCULT_KNIGHT", "ARCANE_SWINDLER"</t>
  </si>
  <si>
    <t>"ARTIFICER", "BARD", "SORCERER", "MAGICIAN", "OCCULT_KNIGHT", "ARCANE_SWINDLER"</t>
  </si>
  <si>
    <t>"ARTIFICER", "DRUID", "WIZARD"</t>
  </si>
  <si>
    <t>"SORCERER", "MAGICIAN", "OCCULT_KNIGHT", "ARTIFICER", "ARCANE_SWINDLER"</t>
  </si>
  <si>
    <t>"BARD", "SORCERER", "MAGICIAN", "ARTIFICER", "ARTIFICER", "OCCULT_KNIGHT", "ARCANE_SWINDLER", "WIZARD"</t>
  </si>
  <si>
    <t>"BARD", "CLERK", "DRUID", "SORCERER", "MAGICIAN", "ARTIFICER", "OCCULT_KNIGHT", "ARCANE_SWINDLER"</t>
  </si>
  <si>
    <t>"ARTIFICER", "CLERK"</t>
  </si>
  <si>
    <t>"ARTIFICER", "MAGICIAN", "OCCULT_KNIGHT", "ARCANE_SWINDLER", "PROWLER"</t>
  </si>
  <si>
    <t>"ARTIFICER", "DRUID", "MAGICIAN", "OCCULT_KNIGHT", "ARCANE_SWINDLER", "PROWLER"</t>
  </si>
  <si>
    <t>"BARD", "CLERK", "DRUID", "SORCERER", "MAGICIAN", "ARTIFICER", "OCCULT_KNIGHT", "ARCANE_SWINDLER", "PALADIN", "PROWLER"</t>
  </si>
  <si>
    <t>"ARTIFICER", "MAGICIAN", "OCCULT_KNIGHT", "ARCANE_SWINDLER"</t>
  </si>
  <si>
    <t>"ARTIFICER", "BARD", "DRUID", "MAGICIAN", "OCCULT_KNIGHT", "ARCANE_SWINDLER", "PROWLER"</t>
  </si>
  <si>
    <t>"ARTIFICER", "BARD", "MAGICIAN", "OCCULT_KNIGHT", "ARCANE_SWINDLER"</t>
  </si>
  <si>
    <t>"ARTIFICER", "BARD", "DRUID", "ARCHFAIRY"</t>
  </si>
  <si>
    <t>"ARTIFICER", "CLERK", "DRUID", "PALADIN"</t>
  </si>
  <si>
    <t>"ARTIFICER", "SORCERER", "MAGICIAN", "OCCULT_KNIGHT", "ARCANE_SWINDLER", "WIZARD"</t>
  </si>
  <si>
    <t>"ARTIFICER", "DRUID", "SORCERER", "MAGICIAN", "OCCULT_KNIGHT", "ARCANE_SWINDLER", "PROWLER"</t>
  </si>
  <si>
    <t>"ARTIFICER", "BARD", "CLERK", "DRUID", "PALADIN", "PROWLER"</t>
  </si>
  <si>
    <t>"ARTIFICER", "CLERK", "PALADIN"</t>
  </si>
  <si>
    <t>"ARTIFICER", "BARD", "CLERK", "DRUID", "SORCERER"</t>
  </si>
  <si>
    <t>"ARTIFICER", "MAGICIAN", "OCCULT_KNIGHT", "ARCANE_SWINDLER", "PALADIN"</t>
  </si>
  <si>
    <t>"ARTIFICER", "BARD", "DRUID", "MAGICIAN", "OCCULT_KNIGHT", "ARCANE_SWINDLER"</t>
  </si>
  <si>
    <t>"ARTIFICER",  "CLERK", "MAGICIAN", "OCCULT_KNIGHT", "ARCANE_SWINDLER"</t>
  </si>
  <si>
    <t>"ARTIFICER", "BARD", "DRUID"</t>
  </si>
  <si>
    <t>"ARTIFICER",  "CLERK", "DRUID", "PALADIN", "PROWLER"</t>
  </si>
  <si>
    <t>"ARTIFICER", "BARD",  "CLERK", "DRUID", "PALADIN", "PROWLER"</t>
  </si>
  <si>
    <t>"BARD", "SORCERER", "MAGICIAN", "ARTIFICER", "OCCULT_KNIGHT", "ARCANE_SWINDLER"</t>
  </si>
  <si>
    <t>"ARTIFICER", "PALADIN"</t>
  </si>
  <si>
    <t>"ARTIFICER", "SORCERER", "MAGICIAN", "OCCULT_KNIGHT", "ARCANE_SWINDLER", "ARCHFAIRY"</t>
  </si>
  <si>
    <t>"ARTIFICER",  "CLERK", "PALADIN"</t>
  </si>
  <si>
    <t>"ARTIFICER", "BARD",  "CLERK", "DRUID", "SORCERER", "MAGICIAN", "OCCULT_KNIGHT", "ARCANE_SWINDLER", "PALADIN", "WIZARD"</t>
  </si>
  <si>
    <t>"ARTIFICER", "BARD",  "CLERK", "MAGICIAN", "OCCULT_KNIGHT", "ARCANE_SWINDLER"</t>
  </si>
  <si>
    <t>"ARTIFICER",  "CLERK", "DRUID", "SORCERER", "PROWLER"</t>
  </si>
  <si>
    <t>"ARTIFICER",  "CLERK", "DRUID", "SORCERER", "MAGICIAN", "OCCULT_KNIGHT", "ARCANE_SWINDLER", "PROWLER"</t>
  </si>
  <si>
    <t>"ARTIFICER",  "CLERK", "DRUID", "MAGICIAN", "OCCULT_KNIGHT", "ARCANE_SWINDLER"</t>
  </si>
  <si>
    <t>"ARTIFICER", "DRUID", "MAGICIAN", "OCCULT_KNIGHT", "ARCANE_SWINDLER", "WIZARD"</t>
  </si>
  <si>
    <t>"ARTIFICER", "BARD",  "CLERK", "DRUID", "PROWLER"</t>
  </si>
  <si>
    <t>"MAGICIAN", "OCCULT_KNIGHT", "ARTIFICER", "ARTIFICER", "ARCANE_SWINDLER"</t>
  </si>
  <si>
    <t>"ARTIFICER", "DRUID", "SORCERER", "MAGICIAN", "OCCULT_KNIGHT", "ARCANE_SWINDLER"</t>
  </si>
  <si>
    <t>"ARTIFICER", "BARD",  "CLERK", "DRUID"</t>
  </si>
  <si>
    <t>"ARTIFICER", "DRUID", "MAGICIAN", "OCCULT_KNIGHT", "ARCANE_SWINDLER"</t>
  </si>
  <si>
    <t>Spécialités d'artificier</t>
  </si>
  <si>
    <t>Bricolage magique</t>
  </si>
  <si>
    <t>Au niveau 1, vous apprenez à imprégner une étincelle de magie dans des objets ordinaires. Pour utiliser cette capacité, vous devez avoir en main des outils de bricoleur ou tout autre outil d'artisan. Vous touchez ensuite par une action un objet non magique de taille TP et lui conférez une propriété magique de votre choix parmi la liste suivante :
•	L'objet émet une lumière vive sur un rayon de 1,50 m et une lumière faible sur 1,50 m supplémentaire.
•	Lorsqu'une créature le tapote, l'objet émet un message enregistré qui peut être entendu jusqu'à 3 mètres. Vous prononcez le message lorsque vous conférez cette propriété à l'objet, et l'enregistrement ne peut durer plus de 6 secondes.
•	L'objet émet continuellement, au choix, une odeur ou un son non verbal (bruit de vent, de vagues, gazouillis, etc). L'effet choisi est perceptible jusqu'à 3 mètres.
•	Un effet visuel statique apparaît sur l'une des surfaces de l'objet. Cet effet peut être une image, un texte (jusqu'à 25 mots), des lignes et des formes, ou encore un mélange à votre guise de ces éléments.
La propriété choisie dure indéfiniment. Par une action, vous pouvez toucher l'objet et mettre fin à la propriété prématurément. Vous pouvez appliquer la magie de cette capacité à plusieurs objets à la fois, en touchant un objet différent chaque fois que vous utilisez cette capacité, mais un objet donné ne peut porter qu'une seule propriété à la fois. Le nombre maximum d'objets que vous pouvez affecter de manière simultanée avec cette capacité est égal à votre modificateur d'Intelligence (minimum 1 objet). Si vous essayez de dépasser ce maximum, la propriété la plus ancienne prend fin immédiatement et la nouvelle propriété s'applique.</t>
  </si>
  <si>
    <t>"INT"</t>
  </si>
  <si>
    <t>Vous avez étudié les rouages de la magie, comment la canaliser à travers des objets, et comment l'éveiller à travers eux. En conséquence, vous avez gagné une capacité limitée à lancer des sorts. Pour un observateur, vous ne semblez pas vraiment lancer des sorts dans le sens usuel ; c'est plutôt comme si vous produisiez des miracles au moyen de divers objets.</t>
  </si>
  <si>
    <t>Au niveau 1, vous connaissez deux sorts mineurs de votre choix parmi la liste de sorts d'artificier ci-dessous. Vous apprendrez des sorts mineurs supplémentaires de votre choix aux niveaux supérieurs, comme indiqué dans la colonne Sorts mineurs connus de la table ci-dessus. Lorsque vous gagnez un niveau dans cette classe, vous pouvez remplacer un de vos sorts mineurs d'artificier connu par un autre de la liste de sorts d'artificier.</t>
  </si>
  <si>
    <t>Préparer et lancer des sorts</t>
  </si>
  <si>
    <t>La table de l'artificier indique combien d'emplacements de sorts vous avez pour lancer vos sorts d'artificier. Pour lancer un de vos sorts de niveau 1 ou supérieur, vous devez dépenser un emplacement du niveau du sort ou supérieur. Vous regagnez tous les emplacements de sorts dépensés lorsque vous terminez un repos long.
Vous devez préparer la liste des sorts d'artificier qui vous sont disponibles pour les lancer, en les choisissant dans la liste de sorts d'artificier. Pour ce faire, choisissez un nombre de sorts d'artificier égal à votre modificateur d'Intelligence + la moitié de votre niveau d'artificier, arrondi à l'inférieur (minimum un sort). Les sorts doivent être d'un niveau pour lequel vous avez des emplacements de sorts.
Par exemple, si vous êtes un artificier de niveau 5, vous possédez quatre emplacements de sorts de niveau 1 et deux emplacements de sorts de niveau 2. Avec une Intelligence de 14, votre liste de sorts préparés peut inclure quatre sorts de niveau 1 ou 2, selon n'importe quelle combinaison. Si vous préparez le sort de niveau 1 soins, vous pouvez le lancer en utilisant un emplacement de niveau 1 ou de niveau 2. Lancer le sort ne le supprime pas de votre liste de sorts préparés.
Vous pouvez modifier votre liste de sorts préparés lorsque vous terminez un repos long. Préparer une nouvelle liste de sorts d'artificier demande du temps pour bricoler avec vos focaliseurs de sorts : au moins 1 minute par niveau de sort pour chaque sort de votre liste.
L'Intelligence est votre caractéristique d'incantation pour vos sorts d'artificier ; votre compréhension théorique de la magie vous permet de manier ces sorts avec une grande habileté. Vous utilisez votre Intelligence chaque fois qu'un sort d'artificier se réfère à votre caractéristique d'incantation. En outre, vous utilisez votre modificateur d'Intelligence pour définir le DD du jet de sauvegarde d'un sort d'artificier que vous lancez ainsi que pour le jet d'attaque de celui-ci.
DD de sauvegarde des sorts = 8 + votre bonus de maîtrise + votre modificateur d'Intelligence
Modificateur aux attaques avec un sort = votre bonus de maîtrise + votre modificateur d'Intelligence</t>
  </si>
  <si>
    <t>Vous pouvez lancer un sort d'artificier en tant que rituel si ce sort possède l'étiquette rituel et si vous avez préparé ce sort.</t>
  </si>
  <si>
    <t>Imprégnation d'objet</t>
  </si>
  <si>
    <t>Spécialité d'artificier</t>
  </si>
  <si>
    <t>Au niveau 3, vous choisissez le type de spécialiste que vous êtes : alchimiste, artilleur ou forgeron de guerre, détaillé à la fin de la description de classe. Votre choix vous accorde des capacités spéciales au niveau 5 puis aux niveaux 9 et 15.</t>
  </si>
  <si>
    <t>Outil adéquat</t>
  </si>
  <si>
    <t>Au niveau 3, vous apprenez à produire exactement l'outil dont vous avez besoin : avec des outils de bricoleur en mains, vous pouvez créer magiquement des outils d'artisan dans un espace inoccupé à 1,50 mètre ou moins de vous. Cette création demande 1 heure de travail ininterrompu, qui peut coïncider avec un repos court ou long. Bien qu'ils soient le produit de la magie, les outils ne sont pas magiques et disparaissent dès que vous utilisez cette capacité à nouveau.</t>
  </si>
  <si>
    <t>Expertise d'outil</t>
  </si>
  <si>
    <t>À partir du niveau 6, votre bonus de maîtrise est doublé pour tout jet de caractéristique que vous réalisez et qui utilise votre maîtrise d'un outil.</t>
  </si>
  <si>
    <t>Éclair de génie</t>
  </si>
  <si>
    <t>À partir du niveau 7, vous gagnez la capacité de proposer des solutions tout en étant sous pression. Lorsque vous ou une autre créature que vous voyez à 9 mètres ou moins de vous fait un jet de caractéristique ou de sauvegarde, vous pouvez utiliser votre réaction pour ajouter votre modificateur d'Intelligence au jet. Vous pouvez utiliser cette capacité un nombre de fois égal à votre modificateur Intelligence (minimum une fois). Vous récupérez toutes les utilisations dépensées lorsque vous terminez un repos long.</t>
  </si>
  <si>
    <t>Expert en objets magiques</t>
  </si>
  <si>
    <t>Au niveau 10, vous obtenez une compréhension approfondie de la façon d'utiliser et de fabriquer des objets magiques :
•	Vous pouvez vous lier avec quatre objets magiques à la fois.
•	Si vous fabriquez un objet magique qui possède une rareté commun ou peu commun, cela ne vous prend qu'un quart du temps normal, et ne vous coûte que la moitié de l'or habituel.</t>
  </si>
  <si>
    <t>Objet stockeur de sort</t>
  </si>
  <si>
    <t>Au niveau 11, vous apprenez à stocker un sort dans un objet. Lorsque vous terminez un repos long, vous pouvez toucher une arme courante ou de guerre, ou n'importe quel objet que vous pouvez utiliser comme focaliseur de sorts, et y stocker un sort à l'intérieur. Vous choisissez ce sort qui doit être un sort d'artificier de niveau 1 ou 2 et qui se lance par 1 action (vous n'avez pas besoin d'avoir préparé ce sort). Si elle tient l'objet en main, une créature peut utiliser une action pour produire l'effet du sort, en utilisant le modificateur de votre caractéristique d'incantation. Si le sort nécessite de la concentration, la créature doit se concentrer. Le sort demeure dans l'objet jusqu'à ce qu'il ait été utilisé un nombre de fois égal à deux fois votre modificateur d'Intelligence (minimum 2) ou jusqu'à ce que vous utilisiez à nouveau cette capacité pour stocker un sort dans un objet.</t>
  </si>
  <si>
    <t>Érudit en objets magiques</t>
  </si>
  <si>
    <t>Au niveau 14, votre compétence avec les objets magiques s'approfondit davantage :
•	Vous pouvez vous lier avec cinq objets magiques à la fois.
•	Vous ignorez toutes les exigences de classe, de race, de sort et de niveau pour utiliser ou se lier avec un objet magique.</t>
  </si>
  <si>
    <t>Maître des objets magiques</t>
  </si>
  <si>
    <t>L'artifice dans l'âme</t>
  </si>
  <si>
    <t>Au niveau 20, vous développez une connexion mystique avec vos objets magiques, que vous pouvez utiliser pour vous protéger :
•	Vous gagnez un bonus de +1 à tous les jets de sauvegarde par objet magique auquel vous êtes lié.
•	Si vous êtes réduit à 0 point de vie mais pas tué, vous pouvez utiliser votre réaction pour mettre fin à l'une de vos imprégnations d'artificier, ce qui vous rétablit à 1 point de vie au lieu de 0.</t>
  </si>
  <si>
    <t>Au niveau 2, vous gagnez la capacité d'imprégner des objets ordinaires avec certaines imprégnations magiques. Les objets magiques que vous créez grâce à cette capacité sont considérés comme des prototypes d'objets permanents.
Imprégnations connues
Lorsque vous gagnez cette capacité, choisissez quatre imprégnations d'artificier que vous apprenez parmi celles proposées à la fin de la description de cette classe. Vous apprenez des imprégnations supplémentaires de votre choix lorsque vous atteignez certains niveaux dans cette classe, comme le montre la colonne Imprégnations connues de la table de l'artificier. Lorsque vous gagnez un niveau dans cette classe, vous pouvez remplacer une imprégnation d'artificier que vous connaissez par une nouvelle.
Imprégner un objet
Lorsque vous terminez un repos long, vous pouvez toucher un objet non magique et l'imprégner avec l'une de vos imprégnations d'artificier pour en faire un objet magique. Une imprégnation ne fonctionne que sur certains types d'objet, comme indiqué dans la description de l'imprégnation. Si l'objet requiert d'être lié, vous pouvez vous y lier vous-même au moment où vous imprégnez l'objet, ou bien vous pouvez renoncer au lien afin que quelqu'un d'autre puisse se lier à l'objet. Si vous décidez de vous lier à l'objet plus tard, vous devrez alors suivre le processus normal pour se lier (voir Lien dans le Guide du Maître).
Votre imprégnation demeure indéfiniment dans un objet, mais si vous mourez l'imprégnation disparaît après un nombre de jours égal à votre modificateur d'Intelligence (minimum 1 jour). L'imprégnation disparaît également si vous abandonnez la connaissance de cette imprégnation pour une autre. Vous pouvez imprégnez plus d'un objet non magique à la fois à la fin d'un repos long ; le nombre maximum d'objets imprégnables est indiqué dans la colonne Objets imprégnés de la table de l'artificier. Vous devez toucher chaque objet, et chacune de vos imprégnations ne peut imprégner qu'un seul objet à la fois. De plus, aucun objet ne peut supporter plus d'une de vos infusions à la fois. Si vous tentez de dépasser votre nombre maximum d'imprégnations, l'imprégnation la plus ancienne prend fin immédiatement et la nouvelle imprégnation s'applique.</t>
  </si>
  <si>
    <t>À partir du niveau 18, vous pouvez vous lier avec six objets magiques à la fois.</t>
  </si>
  <si>
    <t>ALCHEMIST</t>
  </si>
  <si>
    <t>Alchimiste</t>
  </si>
  <si>
    <t>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t>
  </si>
  <si>
    <t>Artilleur</t>
  </si>
  <si>
    <t>GUNNER</t>
  </si>
  <si>
    <t>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t>
  </si>
  <si>
    <t>BLACKSMITH</t>
  </si>
  <si>
    <t>Forgeron de guerre</t>
  </si>
  <si>
    <t>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t>
  </si>
  <si>
    <t>"Alchimiste érudit"</t>
  </si>
  <si>
    <t>"Réactifs de restauration"</t>
  </si>
  <si>
    <t>"Maître chimiste"</t>
  </si>
  <si>
    <t>"Maîtrise des outils", "Sorts d'artilleur", "Canon occulte"</t>
  </si>
  <si>
    <t>"Prototype d'arme à feu"</t>
  </si>
  <si>
    <t>"Canon explosif"</t>
  </si>
  <si>
    <t>"Position fortifiée"</t>
  </si>
  <si>
    <t>"Maîtrise des outils", "Sorts de forgeron de guerre", "Paré au combat", "Protecteur d'acier"</t>
  </si>
  <si>
    <t>"Décharge arcanique"</t>
  </si>
  <si>
    <t>"Défenseur amélioré"</t>
  </si>
  <si>
    <t>Lorsque vous adoptez cette spécialité au niveau 3, vous gagnez la maîtrise du matériel d'alchimiste. Si vous possédez déjà cette maîtrise, vous acquérez la maîtrise d'un autre type d'outils d'artisan de votre choix.</t>
  </si>
  <si>
    <t>Sorts d'alchimiste</t>
  </si>
  <si>
    <t>À partir du niveau 3, certains de vos sorts sont toujours préparés, comme indiqué dans la table ci-dessous. Vous considérez ces sorts comme des sorts d'artificier mais ils ne comptent pas dans le nombre de sorts que vous pouvez préparer.
Niveau d'artificier	Sorts
3					mot de guérison, rayon empoisonné
5					flèche acide de Melf, sphère de feu
9					forme gazeuse, mot de guérison de groupe
13					flétrissement, protection contre la mort
17					nuage mortel, rappel à la vie</t>
  </si>
  <si>
    <t>Élixir expérimental</t>
  </si>
  <si>
    <t>À partir du niveau 3, chaque fois que vous terminez un repos long, vous pouvez magiquement produire un élixir expérimental dans une fiole vide que vous touchez. Lancez un dé sur la table ci-dessous pour définir l'effet de l'élixir, lequel se déclenche lorsque quelqu'un boit l'élixir. Par une action, une créature peut boire l'élixir ou l'administrer à une créature incapable d'agir. Créer un élixir expérimental demande d'avoir un matériel d'alchimiste sur soi, et tout élixir créé avec cette capacité dure jusqu'à ce qu'il soit bu ou jusqu'à la fin de votre prochain repos long.
Lorsque vous atteignez certains niveaux dans cette classe, vous pouvez fabriquer plus d'élixirs à la fin d'un repos long : deux au niveau 6 et trois au niveau 15. Lancez séparément l'effet de chaque élixir. Chaque élixir nécessite son propre flacon. Vous pouvez créer des élixirs expérimentaux supplémentaires en dépensant pour chacun un emplacement de sort de niveau 1 ou supérieur. Dans ce cas, vous utilisez votre action pour créer l'élixir dans une fiole vide que vous touchez, et vous choisissez l'effet de l'élixir dans la table ci-dessous.
d6	Effet
1	Soins. Le buveur regagne un nombre de points de vie égal à 2d4 + votre modificateur d'Intelligence.
2	Rapidité. La vitesse du buveur augmente de 3 mètres durant 1 heure.
3	Résilience. Le buveur obtient un bonus de +1 à la CA durant 10 minutes.
4	Audace. Le buveur peut lancer un d4 et ajouter le nombre obtenu à chaque jet d'attaque ou de sauvegarde qu'il effectue dans la minute qui suit.
5	Vol. Le buveur obtient une vitesse de vol de 3 mètres durant 10 minutes.
6	Transformation. Le corps du buveur est transformé comme par le sort modification d'apparence. Le buveur détermine la transformation provoquée par le sort, dont les effets durent 10 minutes.</t>
  </si>
  <si>
    <t>Alchimiste érudit</t>
  </si>
  <si>
    <t>Au niveau 5, votre contrôle des réactifs magico-chimiques est devenu magistral, améliorant les soins et les dégâts que vous en tirez. Lorsque vous lancez un sort en utilisant votre matériel d'alchimiste comme focaliseur, vous recevez un bonus à un jet du sort. Ce jet doit restaurer des points de vie ou être un jet qui inflige des dégâts d'acide, de feu, nécrotique ou de poison, et le bonus est égal à votre modificateur d'Intelligence (minimum +1).</t>
  </si>
  <si>
    <t>Réactifs de restauration</t>
  </si>
  <si>
    <t>À partir du niveau 9, vous pouvez incorporer des réactifs de restauration dans certains de vos travaux :
Chaque fois qu'une créature boit un élixir expérimental que vous avez créé, la créature gagne des points de vie temporaires égaux à 2d6 + votre modificateur d'Intelligence (minimum 1 point de vie temporaire).
Vous pouvez lancer restauration partielle sans dépenser d'emplacement de sort et sans avoir à le préparer, du moment que vous utilisez votre matériel d'alchimiste comme focaliseur de sort. Vous pouvez lancer ce sort de cette façon un nombre de fois égal à votre modificateur d'Intelligence (minimum une fois) et vous récupérez toutes les utilisations dépensées lorsque vous terminez un repos long.</t>
  </si>
  <si>
    <t>Maître chimiste</t>
  </si>
  <si>
    <t>Au niveau 15, vous avez été exposé à tant d'éléments chimiques dont vous avez percé les secrets qu'ils ne présentent plus aucun risque pour vous, au point que vous les utilisez même pour mettre fin prestement à certaines affections :
Vous gagnez la résistance aux dégâts d'acide et de poison, et vous êtes désormais immunisé à la condition empoisonné.
Vous pouvez lancer restauration supérieure et guérison sans dépenser d'emplacement de sort, sans avoir à les préparer et sans utiliser de composantes matérielles, du moment que vous utilisez votre matériel d'alchimiste comme focaliseur de sort. Une fois que vous avez lancé l'un ou l'autre de ces sorts avec cette capacité, vous ne pouvez plus lancer ce sort de cette manière avant d'avoir terminé un repos long.</t>
  </si>
  <si>
    <t>Lorsque vous adoptez cette spécialité au niveau 3, vous gagnez la maîtrise des outils de menuisier. Si vous possédez déjà cette maîtrise, vous acquérez la maîtrise d'un autre type d'outils d'artisan de votre choix.</t>
  </si>
  <si>
    <t>Sorts d'artilleur</t>
  </si>
  <si>
    <t>À partir du niveau 3, certains de vos sorts sont toujours préparés, comme indiqué dans la table ci-dessous. Vous considérez ces sorts comme des sorts d'artificier et ils ne comptent pas dans le nombre de sorts que vous pouvez préparer.
Niveau d'artificier	Sorts
3					bouclier, onde de choc
5					rayon ardent, fracassement
9					boule de feu, mur de vent
13					tempête de grêle, mur de feu
17					cône de froid, mur de force</t>
  </si>
  <si>
    <t>Canon occulte</t>
  </si>
  <si>
    <t>Au niveau 3, vous apprenez à créer un canon occulte. Avec des outils de menuisier ou de forgeron en main, vous pouvez par une action créer magiquement un canon occulte de taille TP ou P dans un espace inoccupé sur une surface horizontale dans un rayon de 1,50 m autour de vous. Un canon occulte de taille P occupe son espace, et un canon de taille TP peut être porté dans une main. Une fois que vous avez créé un canon, vous ne pouvez plus recommencer avant d'avoir terminé un repos long ou d'avoir dépensé un emplacement de sort de niveau 1 ou supérieur. Vous ne pouvez avoir qu'un seul canon à la fois et vous ne pouvez pas en créer un autre tant que votre canon est présent.
Le canon est un objet magique. Quelle que soit sa taille, il a une CA de 18 et un nombre de points de vie égal à cinq fois votre niveau d'artificier. Il est immunisé aux dégâts de poison, aux dégâts psychiques et à toutes les conditions. S'il est contraint d'effectuer un jet de caractéristiques ou de sauvegarde, considérez toutes ses valeurs de caractéristiques comme étant de 10 (+0). Si le sort réparation le prend pour cible, il récupère 2d6 points de vie. Il disparaît s'il tombe à 0 point de vie ou au bout de 1 heure. Vous pouvez le révoquer prématurément par une action. Lorsque vous créez le canon, vous choisissez son apparence et s'il possède des jambes ou pas. Vous choisissez également son type dans la table ci-dessous. À chacun de vos tours, vous pouvez prendre une action bonus pour l'activer si vous êtes dans un rayon de 18 mètres autour de lui. Au cours de la même action, vous pouvez le faire marcher ou grimper de 4,50 m vers un espace inoccupé, s'il possède des jambes.
Canon				Activation
Lance-Flammes		Le canon exhale du feu dans un cône adjacent de 4,50 m que vous indiquez. Chaque créature dans cette zone doit réaliser un jet de sauvegarde de Dextérité contre le DD de sauvegarde de vos sorts et subir 2d8 dégâts de feu en cas d'échec ou la moitié en cas de réussite. Le feu enflamme tout objet inflammable dans la zone qui n'est pas tenu ou porté.
Baliste de Force	Effectuez une attaque à distance avec un sort en prenant le canon pour origine et en ciblant une créature ou un objet à 36 mètres ou moins de lui. Si l'attaque touche, la cible subit 2d8 dégâts de Force et, si la cible est une créature, celle-ci est repoussée de 1,50 m.
Défenseur			Le canon émet un jaillissement d'énergie positive qui lui octroie, ainsi qu'à chaque créature de votre choix dans un rayon de 3 mètres, un nombre de points de vie temporaires égal à 1d8 + votre modificateur d'Intelligence (minimum +1).</t>
  </si>
  <si>
    <t>Prototype d'arme à feu</t>
  </si>
  <si>
    <t>Au niveau 5, vous savez comment transformer une baguette, un bâton ou un sceptre en une arme à feu arcanique, un conduit pour vos sorts destructeurs. Lorsque vous terminez un repos long, vous pouvez utiliser des outils de menuisier pour sculpter des symboles spéciaux sur une baguette, un bâton ou un sceptre et ainsi le transformer en votre arme à feu arcanique. Les symboles disparaissent de l'objet si vous les gravez ensuite sur un autre objet. Sinon, ils durent indéfiniment.
Vous pouvez utiliser votre arme à feu arcanique comme focaliseur de sorts pour vos sorts d'artificier. Lorsque vous lancez un sort d'artificier à travers l'arme à feu, lancez un d8 et vous obtenez un bonus à l'un des jets de dégâts du sort égal au nombre obtenu.</t>
  </si>
  <si>
    <t>Canon explosif</t>
  </si>
  <si>
    <t>À partir du niveau 9, chaque canon occulte que vous créez est plus destructeur :
Tous les jets de dégâts du canon augmentent de 1d8.
Par une action, vous pouvez ordonner au canon d'exploser si vous êtes dans un rayon de 18 mètres autour de lui. Cela détruit le canon et force toute créature à 6 mètres ou moins de lui à effectuer un jet de sauvegarde de Dextérité contre le DD de sauvegarde de vos sorts, subissant 3d8 dégâts de force en cas d'échec ou la moitié de ces dégâts en cas de succès.</t>
  </si>
  <si>
    <t>Position fortifiée</t>
  </si>
  <si>
    <t>À partir du niveau 15, vous êtes passé maître dans l'art de défendre une position avec Canon occulte.
Grâce à un champ scintillant de protection magique émanant du canon, vous et vos alliés bénéficiez d'un abri partiel dans un rayon de 3 mètres autour du canon que vous avez créé avec Canon occulte.
Vous pouvez maintenant avoir deux canons au même moment. Vous pouvez en créer deux avec la même action (mais pas avec le même emplacement de sort) et vous pouvez activer les deux avec la même action bonus. Vous choisissez si les canons sont identiques ou différents. Vous ne pouvez pas créer un troisième canon tant que vous en avez deux.</t>
  </si>
  <si>
    <t>Lorsque vous adoptez cette spécialité au niveau 3, vous gagnez la maîtrise des outils de forgeron. Si vous possédez déjà cette maîtrise, vous acquérez la maîtrise d'un autre type d'outils d'artisan de votre choix.</t>
  </si>
  <si>
    <t>Sorts de forgeron de guerre</t>
  </si>
  <si>
    <t>À partir du niveau 3, certains de vos sorts sont toujours préparés, comme indiqué dans la table ci-dessous. Vous considérez ces sorts comme des sorts d'artificier et ils ne comptent pas dans le nombre de sorts que vous pouvez préparer.
Niveau d'artificier	Sorts
3					héroïsme, bouclier
5					châtiment lumineux, lien de protection
9					aura de vitalité, invocation de tir de barrage
13					aura de pureté, bouclier de feu
17					châtiment de bannissement, soins de groupe</t>
  </si>
  <si>
    <t>Paré au combat</t>
  </si>
  <si>
    <t>Au niveau 3, votre entraînement au combat et vos expérimentations avec la magie ont porté leurs fruits de deux manières :
Vous gagnez la maîtrise des armes de guerre.
Lorsque vous portez une attaque avec une arme magique, vous pouvez utiliser votre modificateur d'intelligence, à la place de votre modificateur de Force ou de Dextérité, pour les jets d'attaque et de dégâts.</t>
  </si>
  <si>
    <t>Protecteur d'acier</t>
  </si>
  <si>
    <t>Au niveau 3, vos bricolages dans vos temps libres ont donné naissance à un compagnon fidèle, un protecteur d'acier. Il est amical envers vous et vos compagnons, et obéit à vos ordres. Il est amical envers vous et vos compagnons, et obéit à vos ordres. Référez-vous au bloc de statistiques du protecteur d'acier. Vous déterminez l'apparence de la créature et si elle a deux ou quatre pattes ; votre choix n'a aucun effet sur ses statistiques.
En combat, le protecteur d'acier partage votre initiative, mais prend son tour immédiatement après le vôtre. Il peut bouger et utiliser sa réaction par lui-même, mais la seule action qu'il peut entreprendre à son tour est l'action Esquiver, à moins que vous ne preniez une action bonus à votre tour pour lui ordonner d'entreprendre l'une des actions de son bloc de stat, ou bien encore une action parmi Aider, Chercher, Foncer, Se cacher et Se désengager.
Si le sort réparation est lancé sur le protecteur d'acier, il récupère 2d6 points de vie. S'il est mort depuis moins d'une heure, vous pouvez par une action utiliser vos outils de forgeron pour le ramener à la vie, à condition de vous trouver à 1,50 m ou moins de lui et de dépenser un emplacement de sort de niveau 1 ou supérieur. Le protecteur d'acier revient à la vie avec tous ses points de vie récupérés. À la fin de repos long, vous pouvez créer un nouveau protecteur d'acier si vous avez vos outils de forgeron avec vous. Si vous avez déjà un protecteur d'acier dû à cette capacité, le premier périt immédiatement.</t>
  </si>
  <si>
    <t>Décharge arcanique</t>
  </si>
  <si>
    <t>Au niveau 9, vous apprenez de nouvelles façons de canaliser l'énergie arcanique pour endommager ou soigner. Lorsque vous touchez une cible lors d'une attaque avec une arme magique ou que votre protecteur d'acier touche une cible, vous pouvez canaliser l'énergie magique dans le coup pour créer l'un des effets suivants :
La cible subit 2d6 dégâts de force supplémentaires.
Choisissez une créature ou un objet que vous pouvez voir dans un rayon de 9 mètres autour de la cible. Une énergie curative se répand dans le bénéficiaire choisit, que récupère 2d6 points de vie.
Vous pouvez canaliser cette énergie magique un nombre de fois égal à votre modificateur d'intelligence (minimum une fois), mais pas plus d'une fois par tour. Vous récupérez toutes les utilisations de cette capacité lorsque vous terminez un repos long.</t>
  </si>
  <si>
    <t>Défenseur amélioré</t>
  </si>
  <si>
    <t>Au niveau 15, votre décharge arcanique et votre protecteur d'acier deviennent encore plus puissants :
Les dégâts supplémentaires et les soins de votre décharge arcanique passent à 4d6.
Votre protecteur d'acier gagne un bonus de +2 à la CA.
Lorsque votre protecteur d'acier utilise sa Parade d'attaque, l'attaquant subit des dégâts de force égaux à 1d4 + votre modificateur d'intelligence.</t>
  </si>
  <si>
    <t>MYSTICAL</t>
  </si>
  <si>
    <t>Mystique</t>
  </si>
  <si>
    <t>Mystical</t>
  </si>
  <si>
    <t>Ordre mystique</t>
  </si>
  <si>
    <t>Psi</t>
  </si>
  <si>
    <t>Talents connus</t>
  </si>
  <si>
    <t>Disciplines connues</t>
  </si>
  <si>
    <t>Points Psi</t>
  </si>
  <si>
    <t>Limite Psi</t>
  </si>
  <si>
    <t>"Récupération mystique", "Télépathie"</t>
  </si>
  <si>
    <t>"Capacité de l'Ordre mystique"</t>
  </si>
  <si>
    <t>"Amélioration de caractéristiques", "Force de l'esprit"</t>
  </si>
  <si>
    <t>"Amlioration de caractéristiques", "Psionique puissant"</t>
  </si>
  <si>
    <t>"Pouvoir dévorant"</t>
  </si>
  <si>
    <t>"Maîtrise psionique"</t>
  </si>
  <si>
    <t>"Capacité de l'Ordre mystique", "Psionique puissant"</t>
  </si>
  <si>
    <t>"Corps psionique"</t>
  </si>
  <si>
    <t>AVATAR_ORDER</t>
  </si>
  <si>
    <t>Ordre de l'Avatar</t>
  </si>
  <si>
    <t>Ordre des Éveillés</t>
  </si>
  <si>
    <t>AWAKENED_ORDER</t>
  </si>
  <si>
    <t>Ordre des Immortels</t>
  </si>
  <si>
    <t>IMMORTALS_ORDER</t>
  </si>
  <si>
    <t>Ordre du Nomade</t>
  </si>
  <si>
    <t>NOMAD_ORDER</t>
  </si>
  <si>
    <t>Ordre de l'Âme acérée</t>
  </si>
  <si>
    <t>SHARP_SOUL_ORDER</t>
  </si>
  <si>
    <t>Ordre du Wu Jen</t>
  </si>
  <si>
    <t>WU_JEN_ORDER</t>
  </si>
  <si>
    <t>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t>
  </si>
  <si>
    <t>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t>
  </si>
  <si>
    <t>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t>
  </si>
  <si>
    <t>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t>
  </si>
  <si>
    <t>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t>
  </si>
  <si>
    <t>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t>
  </si>
  <si>
    <t>"Talents psioniques", "Disciplines psioniques", "Points psi", "Limite psi", "Focaliseur psychique", "Caractéristique psionique",  "Ordre mystique"</t>
  </si>
  <si>
    <t>Talents psioniques</t>
  </si>
  <si>
    <t>Un talent psionique est un effet psionique mineur que vous avez dominé. Au niveau 1, vous ne connaissez qu'un seul talent psionique de votre choix. Vous en apprendrez davantage en gagnant des niveaux de personnage, comme indiqué dans la colonne Talents connus dans la table ci-dessus.</t>
  </si>
  <si>
    <t>Disciplines psioniques</t>
  </si>
  <si>
    <t>Une discipline psionique est un ensemble rigide d’exercices mentaux qui permettent au mystique de manifester ses pouvoirs psioniques. Un mystique ne domine que quelques disciplines à la fois.
Au niveau 1, vous ne connaissez qu'une seule discipline de votre choix. Vous en apprendrez davantage en gagnant des niveaux de personnage, comme indiqué dans la colonne Disciplines connues dans la table ci-dessus. De plus, lorsque vous gagnez un niveau dans cette classe, vous pouvez remplacer une discipline que vous connaissez par une autre de votre choix.</t>
  </si>
  <si>
    <t>Points psi</t>
  </si>
  <si>
    <t>Vous possédez une réserve interne d'énergie qui peut être dévouée aux disciplines psioniques que vous connaissez. Cette énergie est représentée par les points psi. Chaque discipline décrit des effets que vous pouvez créer en dépensant le montant de points psi approprié. Les talents psioniques ne requièrent pas de points psi.
Le nombre de points psi que vous possédez dépend de votre niveau de mystique, comme indiqué dans la colonne Points psi dans la table ci-dessus. Le nombre indique votre maximum de points psi selon votre niveau. Votre total de points psi retrouve sa valeur maximum lorsque vous terminez un repos long. Vous ne pouvez pas avoir moins de 0 point psi ou plus que votre maximum.</t>
  </si>
  <si>
    <t>Limite psi</t>
  </si>
  <si>
    <t>Bien que vous ayez accès à une puissante quantité d'énergie psionique, il faut de l'entrainement et de la pratique pour canaliser cette énergie. Il y a une limite au nombre de points psi que vous pouvez dépenser pour activer une discipline psionique, en fonction de votre niveau de mystique, comme indiqué dans la colonne Limite psi de la table ci-dessus. Par exemple, un mystique de niveau 3 ne peut pas dépenser plus de 3 psi points sur une discipline chaque fois qu'il l'utilise, peu importe le nombre psi qu'il possède.</t>
  </si>
  <si>
    <t>Focaliseur psychique</t>
  </si>
  <si>
    <t>Vous pouvez vous focaliser sur l'énergie psychique de l'une de vos disciplines psioniques pour en tirer des bénéfices. Par une action bonus, vous pouvez choisir une de vos disciplines et en gagner le bonus de focaliseur psychique qui est détaillé dans sa description. Le bonus dure tant que vous n'êtes pas incapable d'agir et que vous n'utilisez pas votre action bonus pour choisir un autre bonus de focaliseur psychique. Vous ne pouvez bénéficier que d'un seul bonus de focaliseur psychique à la fois, et utiliser le focaliseur psychique d'une discipline ne limite pas votre capacité à utiliser d'autres disciplines.</t>
  </si>
  <si>
    <t>Caractéristique psionique</t>
  </si>
  <si>
    <t>L'Intelligence est la caractéristique psionique utilisée pour les disciplines psioniques. Vous utilisez votre modificateur d'Intelligence pour calculer le DD des jets de sauvegarde pour vos effets psioniques ou pour les jets d'attaque qu'ils impliquent.
DD de sauvegarde d'une discipline = 8 + votre bonus de maîtrise + votre modificateur d'Intelligence.
Modificateur à l'attaque d'une discipline = votre bonus de maîtrise + votre modificateur d'Intelligence.</t>
  </si>
  <si>
    <t>Au niveau 1, vous choisissez un ordre mystique parmi ceux détaillés à la fin de la description de cette classe. Chaque ordre est spécialisé dans une approche particulière des pouvoirs psioniques. Votre ordre vous donne des capacités quand vous le choisissez au niveau 1, puis d'autres supplémentaires aux niveaux 3, 6 et 14.</t>
  </si>
  <si>
    <t>Récupération mystique</t>
  </si>
  <si>
    <t>À partir du niveau 2, vous tirez une vigueur particulière de l'énergie psi de vos disciplines psioniques. Lorsque vous dépensez des points psi dans une discipline psionique, vous pouvez immédiatement après prendre une action bonus pour regagner un nombre de points de vie égal au nombre de points psi dépensés.</t>
  </si>
  <si>
    <t>Au niveau 2, votre esprit obtient la capacité de communiquer par télépathie. Vous pouvez parler télépathiquement à n'importe quelle créature que vous pouvez voir à 36 mètres ou moins de vous. Vous n'avez pas besoin d'avoir une langue en commune avec la créature pour qu'elle comprenne vos messages télépathiques, mais la créature doit pouvoir comprendre au moins une langue ou être télépathique.</t>
  </si>
  <si>
    <t>Au niveau 4, puis par la suite au niveau 8, 12, 16 et 19, vous pouvez augmenter une valeur de caractéristique de votre choix de +2, ou bien augmenter deux valeurs de caractéristique de votre choix de +1. Vous ne pouvez cependant pas augmenter une caractéristique au-delà de 20 par ce biais.</t>
  </si>
  <si>
    <t>Force de l'esprit</t>
  </si>
  <si>
    <t>Même la plus basique des techniques psioniques requiert une profonde compréhension de la manière dont l'énergie psionique altère le corps et l'esprit. Ce savoir vous permet de modifier vos défenses pour mieux contrer les menaces auxquelles vous êtes confronté. À partir du niveau 4, vous pouvez changer votre maîtrise des jets de sauvegarde de Sagesse chaque fois que vous terminez un repos court ou long. Pour cela, choisissez la Force, la Dextérité, la Constitution ou le Charisme. Vous gagnez la maîtrise des jets de sauvegarde basés sur cette caractéristique à la place de ceux liés à la Sagesse. Ce changement dure jusqu'à ce que vous finissiez un repos court ou long.</t>
  </si>
  <si>
    <t>Psionique puissant</t>
  </si>
  <si>
    <t>Au niveau 8, vous gagnez la capacité d'imprégner vos attaques avec une arme d'énergie psychique. Une fois lors de chacun de vos tours lorsque vous touchez une créature avec une arme, vous pouvez infliger 1d8 de dégâts psychiques supplémentaires à cette cible. Lorsque vous atteignez le niveau 14, les dommages supplémentaires passent à 2d8.
En outre, vous ajoutez votre modificateur d'Intelligence à tous les jets de dégâts qui découlent d'un talent psionique.</t>
  </si>
  <si>
    <t>Pouvoir dévorant</t>
  </si>
  <si>
    <t>Au niveau 10, vous gagnez la faculté de sacrifier votre force vitale en échange de pouvoirs psychiques. Lorsque vous activez une discipline psionique, vous pouvez payer le coût en points psi avec vos points de vie, au lieu d'utiliser des points psi. Vos points de vie actuels et vos points de vie maximums sont tous les deux réduits du nombre de points de vie que vous dépensez. Cette réduction ne peut être éliminée d'aucune façon, et la réduction de vos points de vie maximums dure jusqu'à ce que vous terminiez un repos long. Une fois que vous avez utilisé cette capacité, vous ne pouvez plus l'utiliser à nouveau jusqu'à ce que vous ayez terminé un repos long.</t>
  </si>
  <si>
    <t>Maîtrise psionique</t>
  </si>
  <si>
    <t>À partir du niveau 11, votre maîtrise de l'énergie psionique vous permet de pousser votre esprit au-delà de ses limites. Par une action, vous gagnez 9 points psi spéciaux que vous ne pouvez consacrer qu'aux disciplines qui nécessitent une action ou une action bonus. Vous pouvez utiliser la totalité des 9 points pour une seule discipline, ou les répartir dans plusieurs disciplines. Vous ne pouvez pas dépenser en même temps ces points psi et vos points psi normaux sur la même discipline ; vous ne pouvez dépenser que les points spéciaux obtenus grâce à cette capacité. Lorsque vous terminez un repos long, vous perdez tous les points spéciaux que vous n'avez pas dépensés.
Si plus d'une des disciplines que vous activez avec ces points nécessitent une concentration, vous pouvez vous concentrer sur chacune d'elles. L'activation de l'une d'entre elles met fin à tout effet sur lequel vous étiez déjà concentré, et si vous commencez à vous concentrer sur un effet qui n'utilise pas ces points spéciaux, les disciplines sur lesquelles vous étiez concentré se terminent.
Au niveau 15, le nombre de points psi que vous gagnez avec cette capacité passe à 11. Vous ne pouvez utiliser cette capacité qu'une seule fois, et vous retrouvez son utilisation après un repos long. Vous gagnez une utilisation supplémentaire de cette capacité aux niveaux 13, 15 et 17.</t>
  </si>
  <si>
    <t>Corps psionique</t>
  </si>
  <si>
    <t>Au niveau 20, votre maîtrise des pouvoirs psioniques fait que votre esprit transcende le corps. Votre forme physique est imprégnée d'énergie psionique. Vous obtenez les avantages suivants :
Vous gagnez la résistance contre les dégâts contondants, perforants et tranchants.
Vous ne vieillissez plus.
Vous êtes immunisé contre la maladie, les dégâts de type poison et la condition empoisonné.
Si vous mourez, lancez un d20. Pour un résultat de 10 ou plus, vous vous dématérialisez avec 0 point de vie, au lieu de mourir, et tombez inconscient. Vous disparaissez avec tout votre équipement avant de réapparaître 1d3 jours plus tard à un endroit de votre choix sur le plan d'existence où vous êtes mort, en ayant gagné les avantages d'un repos long.</t>
  </si>
  <si>
    <t>Disciplines supplémentaires</t>
  </si>
  <si>
    <t>Au niveau 1, vous gagnez deux disciplines psioniques supplémentaires à choisir parmi les disciplines des Avatars.</t>
  </si>
  <si>
    <t>Entrainement aux armures</t>
  </si>
  <si>
    <t>Au niveau 1, vous gagnez la maîtrise des armures intermédiaires et des boucliers.</t>
  </si>
  <si>
    <t>À partir du niveau 3, vous projetez une aura inspirante. Si vous n'êtes pas incapable d'agir, chaque allié à 9 mètres ou moins de vous qui peut vous voir gagne un bonus de +2 aux jets d'initiatives.</t>
  </si>
  <si>
    <t>Avatar de soins</t>
  </si>
  <si>
    <t>À partir du niveau 6, vous projetez une aura de résilience. Si vous n'êtes pas incapable d'agir, chaque allié à 9 mètres ou moins de vous qui peut vous voir regagne un nombre de points de vie additionnels égal à votre modificateur d'Intelligence (minimum 0) chaque fois qu'ils récupèrent des points de vie grâce à une discipline psionique.</t>
  </si>
  <si>
    <t>Avatar de vitesse</t>
  </si>
  <si>
    <t>À partir du niveau 14, vous projetez une aura de vitesse. Si vous n'êtes pas incapable d'agir, chaque allié à 9 mètres ou moins de vous qui peut vous voir peut prendre l'action Foncer en tant qu'action bonus.</t>
  </si>
  <si>
    <t>Au niveau 1, vous gagnez deux disciplines psioniques supplémentaires à choisir parmi les disciplines des Éveillés.</t>
  </si>
  <si>
    <t>Talent des éveillés</t>
  </si>
  <si>
    <t>Au niveau 1, vous gagnez la maîtrise de deux compétences supplémentaires de votre choix parmi Dressage, Tromperie, Perspicacité, Intimidation, Investigation, Perception et Persuasion.</t>
  </si>
  <si>
    <t>Investigation psionique</t>
  </si>
  <si>
    <t>Au niveau 3, vous pouvez concentrer votre esprit pour lire l'empreinte psionique laissée sur un objet. Si vous tenez un objet et que vous vous concentrez sur celui-ci pendant 10 minutes (comme si vous vous concentriez sur une discipline psionique), vous apprenez quelques faits simples à son sujet. Vous obtenez une image mentale du point de vue de l'objet, montrant la dernière créature qui l'a tenu durant les dernières 24 heures. Vous apprenez également tous les événements qui ont eu lieu dans un rayon de 6 mètres autour de l'objet durant la dernière heure. Vous percevez ces événements du point de vue de l'objet. Vous les voyez et les entendez comme si vous y étiez, mais ne pouvez pas utiliser d'autres sens. De plus, vous pouvez dissimuler un senseur psionique intangible dans l'objet. Pour les prochaines 24 heures, vous pouvez utiliser une action pour déterminer l'emplacement de l'objet par rapport à vous (distance et direction) et regarder l'environnement de l'objet de son point de vue comme si vous y étiez. Cette perception dure jusqu'au début de votre prochain tour. Une fois que vous avez utilisé cette capacité, vous ne pouvez plus l'utiliser de nouveau jusqu'à ce que vous finissiez un repos court ou long.</t>
  </si>
  <si>
    <t>Déferlement psychique</t>
  </si>
  <si>
    <t>À partir du niveau 6, vous pouvez surcharger votre concentration psychique pour abattre les défenses de vos adversaires. Vous pouvez imposer un désavantage à un jet de sauvegarde de votre cible contre un talent ou une discipline que vous utilisez au prix de votre concentration psychique. Votre concentration psychique se termine immédiatement si elle était active et vous ne pouvez plus l'utiliser à nouveau avant d'avoir terminé un repos court ou long. Vous ne pouvez pas utiliser cette capacité si vous ne pouvez pas utiliser votre concentration psychique.</t>
  </si>
  <si>
    <t>Forme spectrale</t>
  </si>
  <si>
    <t>Au niveau 14, vous gagnez la capacité de vous transformer en un être fantomatique fait d'énergie psionique. Par une action, vous pouvez vous transformer en une version transparente et fantomatique de vous-même. Sous cette forme, vous obtenez la résistance à tous les dommages, vous vous déplacez à la moitié de votre vitesse, et pouvez passer à travers les objets et les créatures, sans toutefois pouvoir mettre fin volontairement à votre mouvement dans leur espace. La forme dure 10 minutes ou jusqu'à ce que vous utilisiez une action pour y mettre fin. Une fois que vous avez utilisé cette capacité, vous ne pouvez plus l'utiliser à nouveau jusqu'à ce que vous ayez terminé un repos long.</t>
  </si>
  <si>
    <t>Au niveau 1, vous gagnez deux disciplines psioniques supplémentaires à choisir parmi les disciplines des Immortels.</t>
  </si>
  <si>
    <t>Résistance de l'Immortel</t>
  </si>
  <si>
    <t>À partir du niveau 1, votre nombre de points de vie maximums augmente de 1 par niveau de mystique. De plus, lorsque vous ne portez ni armure ni bouclier, votre CA de base devient 10 + votre modificateur de Dextérité + votre modificateur de Constitution.</t>
  </si>
  <si>
    <t>Résilience psionique</t>
  </si>
  <si>
    <t>À partir du niveau 3, votre énergie psionique vous octroie une résistance extraordinaire. Au début de chacun de vos tours, vous gagnez un nombre de points de vie temporaires égal à votre modificateur d'Intelligence (minimum 0) si vous avez au moins 1 point de vie.</t>
  </si>
  <si>
    <t>Afflux de vie</t>
  </si>
  <si>
    <t>À partir du niveau 6, vous pouvez puisez dans votre concentration psychique pour éviter la mort. Par une réaction, si vous subissez des dégâts, vous pouvez les diminuer de moitié. Votre concentration psychique se termine immédiatement si elle était active et vous ne pouvez plus l'utiliser à nouveau avant d'avoir terminé un repos court ou long. Vous ne pouvez pas utiliser cette capacité si vous ne pouvez pas utiliser votre concentration psychique.</t>
  </si>
  <si>
    <t>Volonté de l'Immortel</t>
  </si>
  <si>
    <t>À partir du niveau 14, vous pouvez puiser dans vos réserves de pouvoir psionique afin d'échapper à l'emprise de la mort. À la fin de votre tour, si vous avez 0 point de vie, vous pouvez dépenser 5 points psi pour récupérer instantanément un nombre de points de vie égal à votre niveau mystique + votre modificateur de Constitution.</t>
  </si>
  <si>
    <t>Au niveau 1, vous gagnez deux disciplines psioniques supplémentaires à choisir parmi les disciplines des Nomades.</t>
  </si>
  <si>
    <t>Grand savoir</t>
  </si>
  <si>
    <t>Au niveau 1, vous gagnez le pouvoir d'étendre votre savoir. Lorsque vous terminez un repos long, vous gagnez deux maîtrises de votre choix : deux outils, deux compétences ou une de chaque. Vous pouvez aussi remplacer l’une ou ces deux sélections par des langues. Cet avantage dure jusqu'à ce que vous terminiez un repos long.</t>
  </si>
  <si>
    <t>Mémoire des mille pas</t>
  </si>
  <si>
    <t>Au niveau 3, vous gagnez le pouvoir d’utiliser la magie psionique pour vous souvenir de votre itinéraire. En tant que réaction, lorsque vous êtes touché par une attaque, vous pouvez vous téléporter dans un espace inoccupé que vous occupiez depuis le début de votre dernier tour et l’attaque en question vous rate. Une fois que vous avez utilisé cette capacité, vous ne pouvez plus l'utiliser de nouveau jusqu'à ce que vous finissiez un repos court ou long.</t>
  </si>
  <si>
    <t>Téléportation supérieure</t>
  </si>
  <si>
    <t>Au niveau 6, vous gagnez un talent supérieur de téléportation. Quand vous utilisez une discipline psionique pour vous téléporter à n’importe quelle distance, vous pouvez augmenter cette distance de 3 mètres ou moins.</t>
  </si>
  <si>
    <t>Voyage sans effort</t>
  </si>
  <si>
    <t>À partir du niveau 14, votre esprit peut mouvoir votre corps de façon mystique. À chacun de vos tours, vous pouvez renoncer à 9 mètres ou moins de mouvement afin de vous téléporter sur une distance égale à celle à laquelle vous avez renoncée. Pour ce faire, vous devez vous téléporter dans un espace inoccupé que vous pouvez voir.</t>
  </si>
  <si>
    <t>Entrainement martial</t>
  </si>
  <si>
    <t>Au niveau 1, vous gagnez la maîtrise des armures intermédiaires et des armes de guerre.</t>
  </si>
  <si>
    <t>Âme acérée</t>
  </si>
  <si>
    <t>À partir du niveau 1, vous gagnez le pouvoir de déployer une lame d'énergie psychique. En tant qu'action bonus, vous créez de scintillantes lames d'énergie qui émanent de vos deux poings. Pendant que ces lames se manifestent, vous ne pouvez rien tenir dans vos mains. Vous pouvez y mettre un terme à l'aide d'une action bonus. Pour vous, une âme acérée est une arme de corps-à-corps ayant les propriétés légère et finesse. Elle inflige 1d8 dégâts psychiques si elle touche. En utilisant une action bonus, vous pouvez vous préparer à parer ; vous gagnez alors un bonus de +2 à la CA jusqu'à la fin de votre prochain tour ou jusqu'à ce que vous soyez incapable d'agir.</t>
  </si>
  <si>
    <t>Lame aiguisée</t>
  </si>
  <si>
    <t>À partir du niveau 3, vous pouvez utiliser des points psi afin d'augmenter les jets d'attaque et de dégâts de votre âme acérée. Vous obtenez un bonus aux jets d'attaque et de dégâts faits avec votre âme acérée en fonction du nombre de points psi dépensés, comme indiqué dans la table ci-dessous. Ce bonus dure 10 minutes.
Points psi	Bonus à l'attaque et aux dégâts
2			+1
5			+2
7			+4</t>
  </si>
  <si>
    <t>Poignard absorbant</t>
  </si>
  <si>
    <t>À partir du niveau 6, lorsque vous tuez une créature ennemie avec une attaque d'âme acérée, vous regagnez immédiatement 2 points psi.</t>
  </si>
  <si>
    <t>Poignard fantôme</t>
  </si>
  <si>
    <t>À partir du niveau 14, vous pouvez réaliser une attaque qui passera à travers la plupart des défenses. Par une action, vous pouvez faire une attaque avec votre âme acérée. Traitez la CA de la cible comme si elle était de 10, peu importe la véritable CA de la créature ciblée.</t>
  </si>
  <si>
    <t>Au niveau 1, vous gagnez deux disciplines psioniques supplémentaires à choisir parmi les disciplines des Wu Jen.</t>
  </si>
  <si>
    <t>Observation de l'ermite</t>
  </si>
  <si>
    <t>Au niveau 1, vous gagnez la maîtrise de deux compétences de votre choix parmi : Dressage, Arcanes, Histoire, Perspicacité, Médecine, Nature, Perception, Religion ou Survie.</t>
  </si>
  <si>
    <t>À partir du niveau 3, lorsque la résistance d'une créature réduit les dégâts infligés par une de vos disciplines psioniques, vous pouvez utiliser un point psi pour que cette utilisation de la discipline permette d'ignorer la résistance de la créature. Vous ne pouvez utiliser ce point si cela augmenterait le coût de la discipline concernée au-dessus de votre limite de psi.</t>
  </si>
  <si>
    <t>Arcaniste amateur</t>
  </si>
  <si>
    <t>Au niveau 6, vous apprenez trois sorts de magicien de votre choix et les avez toujours préparés. Ces sorts doivent être des sorts de niveau 1, 2 ou 3. En utilisant une action bonus, vous pouvez utiliser des points psi afin de créer des emplacements de sorts que vous pouvez utiliser pour lancer ces sorts, aussi que d'autres sorts que vous êtes capables de lancer. Le coût en points psi de chacun des sorts est détaillé dans la table ci-dessous.
Niveau d'emplacement de sort	Points psi
1								2
2								3
3								5
4								6
5								7
Les emplacements de sorts demeurent jusqu'à ce que vous les utilisiez ou que vous terminiez un repos long. Vous devez vous contraindre à votre limite de psi lorsque vous utilisez des points psi pour créer un emplacement de sort. De plus, lorsque vous gagnez un niveau dans cette classe, vous pouvez remplacer un de vos sorts de magicien choisis par un sort de magicien différent de niveau 1, 2 ou 3.</t>
  </si>
  <si>
    <t>Maîtrise des éléments</t>
  </si>
  <si>
    <t>À partir du niveau 14, si vous êtes résistant à un type de dommage, vous pouvez utiliser 2 points psi en réaction lorsque vous subissez des dégâts de ce type afin de les ignorer complètement ; vous gagnez ainsi l'immunité à ce type de dégât jusqu'à la fin de votre prochain tour.</t>
  </si>
  <si>
    <t>"Maîtrise des outils", "Sorts d'alchimiste", "Élixir expérimental"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</si>
</sst>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General"/>
    <numFmt numFmtId="165" formatCode="&quot;D&quot;General"/>
    <numFmt numFmtId="166" formatCode="&quot;+&quot;General&quot; m&quot;"/>
    <numFmt numFmtId="167" formatCode="&quot;Niveau &quot;General"/>
  </numFmts>
  <fonts count="34">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11"/>
      <color rgb="FF000000"/>
      <name val="Calibri"/>
      <family val="2"/>
      <scheme val="minor"/>
    </font>
    <font>
      <b/>
      <sz val="10"/>
      <color theme="1"/>
      <name val="Inherit"/>
    </font>
    <font>
      <sz val="10"/>
      <color theme="1"/>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
      <sz val="8"/>
      <name val="Calibri"/>
      <family val="2"/>
      <scheme val="minor"/>
    </font>
    <font>
      <sz val="11"/>
      <color rgb="FFC00000"/>
      <name val="Calibri"/>
      <family val="2"/>
      <scheme val="minor"/>
    </font>
    <font>
      <b/>
      <sz val="8"/>
      <color rgb="FF000000"/>
      <name val="Verdana"/>
      <family val="2"/>
    </font>
    <font>
      <sz val="8"/>
      <color rgb="FF000000"/>
      <name val="Verdana"/>
      <family val="2"/>
    </font>
    <font>
      <b/>
      <sz val="8"/>
      <color theme="0"/>
      <name val="Verdana"/>
      <family val="2"/>
    </font>
  </fonts>
  <fills count="13">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rgb="FFEEEEEE"/>
        <bgColor indexed="64"/>
      </patternFill>
    </fill>
    <fill>
      <patternFill patternType="solid">
        <fgColor theme="0"/>
        <bgColor indexed="64"/>
      </patternFill>
    </fill>
  </fills>
  <borders count="5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
      <left style="thin">
        <color theme="1"/>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indexed="64"/>
      </right>
      <top/>
      <bottom style="dashed">
        <color theme="0" tint="-0.499984740745262"/>
      </bottom>
      <diagonal/>
    </border>
    <border>
      <left style="dashed">
        <color theme="0" tint="-0.499984740745262"/>
      </left>
      <right/>
      <top style="dashed">
        <color theme="0" tint="-0.499984740745262"/>
      </top>
      <bottom/>
      <diagonal/>
    </border>
    <border>
      <left/>
      <right/>
      <top style="dashed">
        <color theme="0" tint="-0.499984740745262"/>
      </top>
      <bottom/>
      <diagonal/>
    </border>
    <border>
      <left style="thin">
        <color indexed="64"/>
      </left>
      <right/>
      <top style="dashed">
        <color theme="0" tint="-0.499984740745262"/>
      </top>
      <bottom style="dashed">
        <color theme="0" tint="-0.499984740745262"/>
      </bottom>
      <diagonal/>
    </border>
    <border>
      <left/>
      <right/>
      <top style="dashed">
        <color theme="0" tint="-0.499984740745262"/>
      </top>
      <bottom style="dashed">
        <color theme="0" tint="-0.499984740745262"/>
      </bottom>
      <diagonal/>
    </border>
    <border>
      <left/>
      <right style="thin">
        <color indexed="64"/>
      </right>
      <top style="dashed">
        <color theme="0" tint="-0.499984740745262"/>
      </top>
      <bottom style="dashed">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dashed">
        <color theme="0" tint="-0.499984740745262"/>
      </right>
      <top style="dashed">
        <color theme="0" tint="-0.499984740745262"/>
      </top>
      <bottom/>
      <diagonal/>
    </border>
    <border>
      <left/>
      <right style="thin">
        <color indexed="64"/>
      </right>
      <top style="dashed">
        <color theme="0" tint="-0.499984740745262"/>
      </top>
      <bottom/>
      <diagonal/>
    </border>
    <border>
      <left style="thin">
        <color indexed="64"/>
      </left>
      <right/>
      <top style="dashed">
        <color theme="0" tint="-0.499984740745262"/>
      </top>
      <bottom style="dotted">
        <color theme="1" tint="0.499984740745262"/>
      </bottom>
      <diagonal/>
    </border>
    <border>
      <left/>
      <right/>
      <top style="dashed">
        <color theme="0" tint="-0.499984740745262"/>
      </top>
      <bottom style="dotted">
        <color theme="1" tint="0.499984740745262"/>
      </bottom>
      <diagonal/>
    </border>
    <border>
      <left/>
      <right style="thin">
        <color indexed="64"/>
      </right>
      <top style="dashed">
        <color theme="0" tint="-0.499984740745262"/>
      </top>
      <bottom style="dotted">
        <color theme="1" tint="0.499984740745262"/>
      </bottom>
      <diagonal/>
    </border>
    <border>
      <left style="thin">
        <color indexed="64"/>
      </left>
      <right/>
      <top style="dotted">
        <color theme="1" tint="0.499984740745262"/>
      </top>
      <bottom style="dotted">
        <color theme="1" tint="0.499984740745262"/>
      </bottom>
      <diagonal/>
    </border>
    <border>
      <left/>
      <right/>
      <top style="dotted">
        <color theme="1" tint="0.499984740745262"/>
      </top>
      <bottom style="dotted">
        <color theme="1" tint="0.499984740745262"/>
      </bottom>
      <diagonal/>
    </border>
    <border>
      <left/>
      <right style="thin">
        <color indexed="64"/>
      </right>
      <top style="dotted">
        <color theme="1" tint="0.499984740745262"/>
      </top>
      <bottom style="dotted">
        <color theme="1" tint="0.499984740745262"/>
      </bottom>
      <diagonal/>
    </border>
    <border>
      <left style="thin">
        <color indexed="64"/>
      </left>
      <right/>
      <top/>
      <bottom style="dotted">
        <color theme="1" tint="0.499984740745262"/>
      </bottom>
      <diagonal/>
    </border>
    <border>
      <left/>
      <right/>
      <top/>
      <bottom style="dotted">
        <color theme="1" tint="0.499984740745262"/>
      </bottom>
      <diagonal/>
    </border>
    <border>
      <left/>
      <right style="thin">
        <color indexed="64"/>
      </right>
      <top/>
      <bottom style="dotted">
        <color theme="1" tint="0.499984740745262"/>
      </bottom>
      <diagonal/>
    </border>
    <border>
      <left style="thin">
        <color indexed="64"/>
      </left>
      <right/>
      <top style="dashed">
        <color theme="0" tint="-0.499984740745262"/>
      </top>
      <bottom/>
      <diagonal/>
    </border>
    <border>
      <left style="thin">
        <color indexed="64"/>
      </left>
      <right/>
      <top/>
      <bottom style="dotted">
        <color theme="0" tint="-0.499984740745262"/>
      </bottom>
      <diagonal/>
    </border>
    <border>
      <left/>
      <right/>
      <top/>
      <bottom style="dotted">
        <color theme="0" tint="-0.499984740745262"/>
      </bottom>
      <diagonal/>
    </border>
    <border>
      <left/>
      <right style="thin">
        <color indexed="64"/>
      </right>
      <top/>
      <bottom style="dotted">
        <color theme="0" tint="-0.499984740745262"/>
      </bottom>
      <diagonal/>
    </border>
    <border>
      <left style="dotted">
        <color theme="0" tint="-0.499984740745262"/>
      </left>
      <right/>
      <top style="dotted">
        <color theme="0" tint="-0.499984740745262"/>
      </top>
      <bottom/>
      <diagonal/>
    </border>
    <border>
      <left/>
      <right/>
      <top style="dotted">
        <color theme="0" tint="-0.499984740745262"/>
      </top>
      <bottom/>
      <diagonal/>
    </border>
    <border>
      <left style="dotted">
        <color theme="0" tint="-0.499984740745262"/>
      </left>
      <right/>
      <top/>
      <bottom style="dotted">
        <color theme="0" tint="-0.499984740745262"/>
      </bottom>
      <diagonal/>
    </border>
    <border>
      <left style="thin">
        <color indexed="64"/>
      </left>
      <right/>
      <top style="dotted">
        <color theme="0" tint="-0.499984740745262"/>
      </top>
      <bottom/>
      <diagonal/>
    </border>
    <border>
      <left/>
      <right style="thin">
        <color indexed="64"/>
      </right>
      <top style="dotted">
        <color theme="0" tint="-0.499984740745262"/>
      </top>
      <bottom/>
      <diagonal/>
    </border>
  </borders>
  <cellStyleXfs count="2">
    <xf numFmtId="0" fontId="0" fillId="0" borderId="0"/>
    <xf numFmtId="0" fontId="5" fillId="0" borderId="0" applyNumberFormat="0" applyFill="0" applyBorder="0" applyAlignment="0" applyProtection="0"/>
  </cellStyleXfs>
  <cellXfs count="432">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Font="1"/>
    <xf numFmtId="0" fontId="6" fillId="0" borderId="0"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3"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13" fillId="4" borderId="0" xfId="0" applyFont="1" applyFill="1" applyAlignment="1">
      <alignment vertical="top" wrapText="1"/>
    </xf>
    <xf numFmtId="0" fontId="15"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15" fillId="4" borderId="0" xfId="0" applyFont="1" applyFill="1" applyAlignment="1">
      <alignment vertical="top" wrapText="1"/>
    </xf>
    <xf numFmtId="0" fontId="16" fillId="2" borderId="0" xfId="0" applyFont="1" applyFill="1" applyAlignment="1">
      <alignment vertical="top" wrapText="1"/>
    </xf>
    <xf numFmtId="0" fontId="0" fillId="0" borderId="0" xfId="0" applyAlignment="1">
      <alignment vertical="top"/>
    </xf>
    <xf numFmtId="0" fontId="12" fillId="0" borderId="0" xfId="0" applyFont="1" applyAlignment="1">
      <alignment vertical="top"/>
    </xf>
    <xf numFmtId="0" fontId="13" fillId="0" borderId="0" xfId="0" applyFont="1" applyFill="1" applyBorder="1" applyAlignment="1">
      <alignment vertical="top" wrapText="1"/>
    </xf>
    <xf numFmtId="0" fontId="13" fillId="0" borderId="0" xfId="0" applyFont="1" applyFill="1" applyBorder="1" applyAlignment="1">
      <alignment horizontal="right" vertical="top" wrapText="1"/>
    </xf>
    <xf numFmtId="0" fontId="12" fillId="0" borderId="0" xfId="0" applyFont="1"/>
    <xf numFmtId="0" fontId="14"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13" fillId="5" borderId="0" xfId="0" applyFont="1" applyFill="1" applyAlignment="1">
      <alignment vertical="top" wrapText="1"/>
    </xf>
    <xf numFmtId="0" fontId="13" fillId="4" borderId="0" xfId="0" applyFont="1" applyFill="1" applyAlignment="1">
      <alignment horizontal="right" vertical="top" wrapText="1"/>
    </xf>
    <xf numFmtId="0" fontId="13" fillId="4" borderId="0" xfId="0" applyFont="1" applyFill="1" applyAlignment="1">
      <alignment horizontal="center" vertical="top" wrapText="1"/>
    </xf>
    <xf numFmtId="0" fontId="13" fillId="5" borderId="0" xfId="0" applyFont="1" applyFill="1" applyAlignment="1">
      <alignment horizontal="right" vertical="top" wrapText="1"/>
    </xf>
    <xf numFmtId="0" fontId="16" fillId="2" borderId="0" xfId="0" applyFont="1" applyFill="1" applyAlignment="1">
      <alignment horizontal="center" vertical="top" wrapText="1"/>
    </xf>
    <xf numFmtId="0" fontId="16"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17" fillId="9" borderId="12" xfId="0" applyFont="1" applyFill="1" applyBorder="1" applyAlignment="1">
      <alignment horizontal="center"/>
    </xf>
    <xf numFmtId="0" fontId="13" fillId="4" borderId="0" xfId="0" applyFont="1" applyFill="1" applyBorder="1" applyAlignment="1">
      <alignment horizontal="center" vertical="top" wrapText="1"/>
    </xf>
    <xf numFmtId="0" fontId="13" fillId="4" borderId="4" xfId="0" applyFont="1" applyFill="1" applyBorder="1" applyAlignment="1">
      <alignment horizontal="center" vertical="top" wrapText="1"/>
    </xf>
    <xf numFmtId="0" fontId="11"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11" fillId="0" borderId="0" xfId="0" applyFont="1" applyBorder="1" applyAlignment="1">
      <alignment horizontal="center" vertical="top" wrapText="1"/>
    </xf>
    <xf numFmtId="0" fontId="11" fillId="0" borderId="1" xfId="0" applyFont="1" applyBorder="1" applyAlignment="1">
      <alignment horizontal="center" vertical="top" wrapText="1"/>
    </xf>
    <xf numFmtId="0" fontId="2" fillId="4" borderId="1" xfId="0" applyFont="1" applyFill="1" applyBorder="1" applyAlignment="1">
      <alignment vertical="top" wrapText="1"/>
    </xf>
    <xf numFmtId="0" fontId="10" fillId="4" borderId="10" xfId="0" applyFont="1" applyFill="1" applyBorder="1" applyAlignment="1">
      <alignment horizontal="center" vertical="top" wrapText="1"/>
    </xf>
    <xf numFmtId="0" fontId="10" fillId="4" borderId="1" xfId="0" applyFont="1" applyFill="1" applyBorder="1" applyAlignment="1">
      <alignment horizontal="center" vertical="top" wrapText="1"/>
    </xf>
    <xf numFmtId="0" fontId="16" fillId="9" borderId="12" xfId="0" applyFont="1" applyFill="1" applyBorder="1" applyAlignment="1">
      <alignment horizontal="center" wrapText="1"/>
    </xf>
    <xf numFmtId="0" fontId="11" fillId="5" borderId="9" xfId="0" applyFont="1" applyFill="1" applyBorder="1" applyAlignment="1">
      <alignment horizontal="center" vertical="top" wrapText="1"/>
    </xf>
    <xf numFmtId="0" fontId="11" fillId="0" borderId="9" xfId="0" applyFont="1" applyBorder="1" applyAlignment="1">
      <alignment horizontal="center" vertical="top" wrapText="1"/>
    </xf>
    <xf numFmtId="0" fontId="11" fillId="0" borderId="10" xfId="0" applyFont="1" applyBorder="1" applyAlignment="1">
      <alignment horizontal="center" vertical="top" wrapText="1"/>
    </xf>
    <xf numFmtId="0" fontId="17" fillId="9" borderId="14" xfId="0" applyFont="1" applyFill="1" applyBorder="1" applyAlignment="1">
      <alignment horizontal="center"/>
    </xf>
    <xf numFmtId="0" fontId="10" fillId="4" borderId="15" xfId="0" applyFont="1" applyFill="1" applyBorder="1" applyAlignment="1">
      <alignment horizontal="center" vertical="top" wrapText="1"/>
    </xf>
    <xf numFmtId="0" fontId="11" fillId="5" borderId="16" xfId="0" applyFont="1" applyFill="1" applyBorder="1" applyAlignment="1">
      <alignment vertical="top" wrapText="1"/>
    </xf>
    <xf numFmtId="0" fontId="10" fillId="4" borderId="18" xfId="0" applyFont="1" applyFill="1" applyBorder="1" applyAlignment="1">
      <alignment horizontal="center" vertical="top" wrapText="1"/>
    </xf>
    <xf numFmtId="0" fontId="13" fillId="4" borderId="16" xfId="0" applyFont="1" applyFill="1" applyBorder="1" applyAlignment="1">
      <alignment horizontal="center" vertical="top" wrapText="1"/>
    </xf>
    <xf numFmtId="0" fontId="2" fillId="5" borderId="19" xfId="0" applyFont="1" applyFill="1" applyBorder="1" applyAlignment="1">
      <alignment horizontal="center" vertical="top" wrapText="1"/>
    </xf>
    <xf numFmtId="0" fontId="2" fillId="5" borderId="16" xfId="0" applyFont="1" applyFill="1" applyBorder="1" applyAlignment="1">
      <alignment vertical="top" wrapText="1"/>
    </xf>
    <xf numFmtId="0" fontId="2" fillId="4" borderId="19" xfId="0" applyFont="1" applyFill="1" applyBorder="1" applyAlignment="1">
      <alignment horizontal="center" vertical="top" wrapText="1"/>
    </xf>
    <xf numFmtId="0" fontId="2" fillId="4" borderId="18" xfId="0" applyFont="1" applyFill="1" applyBorder="1" applyAlignment="1">
      <alignment horizontal="center" vertical="top" wrapText="1"/>
    </xf>
    <xf numFmtId="0" fontId="2" fillId="5" borderId="16" xfId="0" applyFont="1" applyFill="1" applyBorder="1" applyAlignment="1">
      <alignment horizontal="center" vertical="top" wrapText="1"/>
    </xf>
    <xf numFmtId="0" fontId="16" fillId="9" borderId="14" xfId="0" applyFont="1" applyFill="1" applyBorder="1" applyAlignment="1">
      <alignment horizontal="center" wrapText="1"/>
    </xf>
    <xf numFmtId="0" fontId="13" fillId="4" borderId="2" xfId="0" applyFont="1" applyFill="1" applyBorder="1" applyAlignment="1">
      <alignment horizontal="center" vertical="top" wrapText="1"/>
    </xf>
    <xf numFmtId="0" fontId="17" fillId="9" borderId="11" xfId="0" applyFont="1" applyFill="1" applyBorder="1" applyAlignment="1">
      <alignment horizontal="center"/>
    </xf>
    <xf numFmtId="0" fontId="11" fillId="5" borderId="19" xfId="0" applyFont="1" applyFill="1" applyBorder="1" applyAlignment="1">
      <alignment horizontal="center" vertical="top" wrapText="1"/>
    </xf>
    <xf numFmtId="0" fontId="11" fillId="0" borderId="19" xfId="0" applyFont="1" applyBorder="1" applyAlignment="1">
      <alignment horizontal="center" vertical="top" wrapText="1"/>
    </xf>
    <xf numFmtId="0" fontId="11" fillId="0" borderId="18" xfId="0" applyFont="1" applyBorder="1" applyAlignment="1">
      <alignment horizontal="center" vertical="top" wrapText="1"/>
    </xf>
    <xf numFmtId="0" fontId="2" fillId="5" borderId="16" xfId="0" applyFont="1" applyFill="1" applyBorder="1" applyAlignment="1">
      <alignment horizontal="left" vertical="top" wrapText="1"/>
    </xf>
    <xf numFmtId="0" fontId="13" fillId="4" borderId="20" xfId="0" applyFont="1" applyFill="1" applyBorder="1" applyAlignment="1">
      <alignment horizontal="center" vertical="top" wrapText="1"/>
    </xf>
    <xf numFmtId="0" fontId="11" fillId="5" borderId="0" xfId="0" applyFont="1" applyFill="1" applyBorder="1" applyAlignment="1">
      <alignment vertical="top" wrapText="1"/>
    </xf>
    <xf numFmtId="0" fontId="11" fillId="0" borderId="0" xfId="0" applyFont="1" applyBorder="1" applyAlignment="1">
      <alignment vertical="top" wrapText="1"/>
    </xf>
    <xf numFmtId="0" fontId="11" fillId="0" borderId="1" xfId="0" applyFont="1" applyBorder="1" applyAlignment="1">
      <alignment vertical="top" wrapText="1"/>
    </xf>
    <xf numFmtId="0" fontId="17"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0" fontId="0" fillId="0" borderId="8" xfId="0" applyBorder="1"/>
    <xf numFmtId="0" fontId="0" fillId="0" borderId="2" xfId="0" applyBorder="1"/>
    <xf numFmtId="0" fontId="18" fillId="0" borderId="3" xfId="0" applyFont="1" applyBorder="1" applyAlignment="1">
      <alignment horizontal="justify" vertical="center" wrapText="1"/>
    </xf>
    <xf numFmtId="0" fontId="18" fillId="0" borderId="4" xfId="0" applyFont="1" applyBorder="1" applyAlignment="1">
      <alignment horizontal="justify" vertical="center" wrapText="1"/>
    </xf>
    <xf numFmtId="0" fontId="18" fillId="0" borderId="5" xfId="0" applyFont="1" applyBorder="1" applyAlignment="1">
      <alignment horizontal="justify" vertical="center" wrapText="1"/>
    </xf>
    <xf numFmtId="0" fontId="17" fillId="9" borderId="0" xfId="0" applyFont="1" applyFill="1"/>
    <xf numFmtId="0" fontId="16"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11" fillId="5" borderId="0" xfId="0" applyNumberFormat="1" applyFont="1" applyFill="1" applyBorder="1" applyAlignment="1">
      <alignment horizontal="left" vertical="top" wrapText="1"/>
    </xf>
    <xf numFmtId="166" fontId="11" fillId="0" borderId="0" xfId="0" applyNumberFormat="1" applyFont="1" applyBorder="1" applyAlignment="1">
      <alignment horizontal="left" vertical="top" wrapText="1"/>
    </xf>
    <xf numFmtId="166" fontId="11"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5" fontId="0" fillId="0" borderId="0" xfId="0" applyNumberFormat="1" applyFont="1" applyFill="1" applyBorder="1"/>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22" fillId="0" borderId="0" xfId="0" applyFont="1" applyAlignment="1">
      <alignment vertical="top"/>
    </xf>
    <xf numFmtId="0" fontId="1" fillId="9" borderId="0" xfId="0" applyFont="1" applyFill="1" applyAlignment="1">
      <alignment vertical="top"/>
    </xf>
    <xf numFmtId="0" fontId="19" fillId="0" borderId="0" xfId="0" applyFont="1" applyAlignment="1">
      <alignment vertical="top"/>
    </xf>
    <xf numFmtId="0" fontId="21" fillId="0" borderId="0" xfId="0" applyFont="1" applyAlignment="1">
      <alignment vertical="top"/>
    </xf>
    <xf numFmtId="0" fontId="20" fillId="0" borderId="0" xfId="0" applyFont="1" applyAlignment="1">
      <alignment vertical="top"/>
    </xf>
    <xf numFmtId="0" fontId="23" fillId="0" borderId="0" xfId="0" applyFont="1" applyAlignment="1">
      <alignment vertical="top"/>
    </xf>
    <xf numFmtId="0" fontId="24" fillId="0" borderId="0" xfId="0" applyFont="1" applyAlignment="1">
      <alignment vertical="top"/>
    </xf>
    <xf numFmtId="0" fontId="11" fillId="0" borderId="0" xfId="0" applyFont="1" applyFill="1" applyBorder="1" applyAlignment="1">
      <alignment horizontal="center" vertical="top" wrapText="1"/>
    </xf>
    <xf numFmtId="0" fontId="11" fillId="0" borderId="0" xfId="0" applyFont="1" applyFill="1" applyBorder="1" applyAlignment="1">
      <alignment vertical="top" wrapText="1"/>
    </xf>
    <xf numFmtId="0" fontId="25" fillId="7" borderId="0" xfId="0" applyFont="1" applyFill="1" applyAlignment="1">
      <alignment vertical="top"/>
    </xf>
    <xf numFmtId="0" fontId="26" fillId="7" borderId="0" xfId="0" applyFont="1" applyFill="1" applyAlignment="1">
      <alignment vertical="top"/>
    </xf>
    <xf numFmtId="0" fontId="12" fillId="7" borderId="0" xfId="0" applyFont="1" applyFill="1" applyAlignment="1">
      <alignment vertical="top"/>
    </xf>
    <xf numFmtId="0" fontId="27" fillId="7" borderId="0" xfId="0" applyFont="1" applyFill="1" applyAlignment="1">
      <alignment vertical="top"/>
    </xf>
    <xf numFmtId="0" fontId="28" fillId="7" borderId="0" xfId="0" applyFont="1" applyFill="1" applyAlignment="1">
      <alignment vertical="top"/>
    </xf>
    <xf numFmtId="167" fontId="0" fillId="3" borderId="0" xfId="0" applyNumberFormat="1" applyFont="1" applyFill="1" applyBorder="1"/>
    <xf numFmtId="167" fontId="0" fillId="0" borderId="0" xfId="0" applyNumberFormat="1" applyFont="1" applyBorder="1"/>
    <xf numFmtId="165" fontId="12" fillId="0" borderId="0" xfId="0" applyNumberFormat="1" applyFont="1" applyBorder="1"/>
    <xf numFmtId="0" fontId="1" fillId="2" borderId="11" xfId="0" applyFont="1" applyFill="1" applyBorder="1"/>
    <xf numFmtId="0" fontId="1" fillId="6" borderId="21" xfId="0" applyFont="1" applyFill="1" applyBorder="1"/>
    <xf numFmtId="0" fontId="1" fillId="6" borderId="12" xfId="0" applyFont="1" applyFill="1" applyBorder="1"/>
    <xf numFmtId="0" fontId="1" fillId="6" borderId="22" xfId="0" applyFont="1" applyFill="1" applyBorder="1"/>
    <xf numFmtId="49" fontId="1" fillId="9" borderId="0" xfId="0" applyNumberFormat="1" applyFont="1" applyFill="1"/>
    <xf numFmtId="49" fontId="0" fillId="0" borderId="0" xfId="0" applyNumberFormat="1"/>
    <xf numFmtId="0" fontId="0" fillId="0" borderId="4" xfId="0" applyBorder="1" applyAlignment="1">
      <alignment horizontal="left"/>
    </xf>
    <xf numFmtId="0" fontId="1" fillId="6" borderId="21" xfId="0" applyFont="1" applyFill="1" applyBorder="1"/>
    <xf numFmtId="0" fontId="1" fillId="6" borderId="12" xfId="0" applyFont="1" applyFill="1" applyBorder="1"/>
    <xf numFmtId="0" fontId="17" fillId="9" borderId="0" xfId="0" applyFont="1" applyFill="1" applyBorder="1" applyAlignment="1">
      <alignment horizontal="center"/>
    </xf>
    <xf numFmtId="0" fontId="17" fillId="0" borderId="0" xfId="0" applyFont="1" applyFill="1" applyBorder="1" applyAlignment="1">
      <alignment horizontal="center"/>
    </xf>
    <xf numFmtId="0" fontId="16" fillId="0" borderId="0" xfId="0" applyFont="1" applyFill="1" applyBorder="1" applyAlignment="1">
      <alignment horizontal="center" wrapText="1"/>
    </xf>
    <xf numFmtId="0" fontId="2" fillId="0" borderId="0" xfId="0" applyFont="1" applyFill="1" applyBorder="1" applyAlignment="1">
      <alignment horizontal="center" vertical="top" wrapText="1"/>
    </xf>
    <xf numFmtId="0" fontId="2" fillId="0" borderId="0" xfId="0" applyFont="1" applyFill="1" applyBorder="1" applyAlignment="1">
      <alignment horizontal="left" vertical="top" wrapText="1"/>
    </xf>
    <xf numFmtId="166" fontId="11" fillId="0" borderId="0" xfId="0" applyNumberFormat="1" applyFont="1" applyFill="1" applyBorder="1" applyAlignment="1">
      <alignment horizontal="left" vertical="top" wrapText="1"/>
    </xf>
    <xf numFmtId="0" fontId="2" fillId="0" borderId="4" xfId="0" applyFont="1" applyFill="1" applyBorder="1" applyAlignment="1">
      <alignment horizontal="center" vertical="top" wrapText="1"/>
    </xf>
    <xf numFmtId="0" fontId="2" fillId="7" borderId="0" xfId="0" applyFont="1" applyFill="1" applyBorder="1" applyAlignment="1">
      <alignment horizontal="center" vertical="top" wrapText="1"/>
    </xf>
    <xf numFmtId="0" fontId="2" fillId="7" borderId="0" xfId="0" applyFont="1" applyFill="1" applyBorder="1" applyAlignment="1">
      <alignment vertical="top" wrapText="1"/>
    </xf>
    <xf numFmtId="0" fontId="2" fillId="7" borderId="0" xfId="0" applyFont="1" applyFill="1" applyBorder="1" applyAlignment="1">
      <alignment horizontal="left" vertical="top" wrapText="1"/>
    </xf>
    <xf numFmtId="0" fontId="2" fillId="7" borderId="4" xfId="0" applyFont="1" applyFill="1" applyBorder="1" applyAlignment="1">
      <alignment horizontal="center" vertical="top" wrapText="1"/>
    </xf>
    <xf numFmtId="0" fontId="16" fillId="9" borderId="12" xfId="0" applyFont="1" applyFill="1" applyBorder="1" applyAlignment="1">
      <alignment horizontal="center" wrapText="1"/>
    </xf>
    <xf numFmtId="0" fontId="2" fillId="7" borderId="2" xfId="0" applyFont="1" applyFill="1" applyBorder="1" applyAlignment="1">
      <alignment horizontal="center" vertical="top" wrapText="1"/>
    </xf>
    <xf numFmtId="0" fontId="11" fillId="7" borderId="2" xfId="0" applyFont="1" applyFill="1" applyBorder="1" applyAlignment="1">
      <alignment horizontal="center" vertical="top" wrapText="1"/>
    </xf>
    <xf numFmtId="0" fontId="0" fillId="7" borderId="8" xfId="0" applyFont="1" applyFill="1" applyBorder="1"/>
    <xf numFmtId="0" fontId="11" fillId="7" borderId="3" xfId="0" applyFont="1" applyFill="1" applyBorder="1" applyAlignment="1">
      <alignment horizontal="center" vertical="top" wrapText="1"/>
    </xf>
    <xf numFmtId="0" fontId="0" fillId="0" borderId="0" xfId="0" applyFont="1" applyAlignment="1">
      <alignment vertical="top"/>
    </xf>
    <xf numFmtId="0" fontId="0" fillId="0" borderId="0" xfId="0" applyBorder="1" applyAlignment="1">
      <alignment horizontal="left"/>
    </xf>
    <xf numFmtId="0" fontId="7" fillId="0" borderId="9" xfId="0" applyFont="1" applyBorder="1"/>
    <xf numFmtId="0" fontId="7" fillId="0" borderId="0" xfId="0" applyFont="1" applyFill="1" applyBorder="1"/>
    <xf numFmtId="0" fontId="7" fillId="0" borderId="0" xfId="0" applyFont="1" applyBorder="1"/>
    <xf numFmtId="0" fontId="7" fillId="7" borderId="9" xfId="0" applyFont="1" applyFill="1" applyBorder="1"/>
    <xf numFmtId="0" fontId="7" fillId="7" borderId="0" xfId="0" applyFont="1" applyFill="1" applyBorder="1"/>
    <xf numFmtId="0" fontId="7" fillId="0" borderId="10" xfId="0" applyFont="1" applyBorder="1"/>
    <xf numFmtId="0" fontId="7" fillId="0" borderId="1" xfId="0" applyFont="1" applyBorder="1"/>
    <xf numFmtId="0" fontId="7" fillId="0" borderId="1" xfId="0" applyFont="1" applyFill="1" applyBorder="1"/>
    <xf numFmtId="0" fontId="2" fillId="0" borderId="16" xfId="0" applyFont="1" applyFill="1" applyBorder="1" applyAlignment="1">
      <alignment horizontal="center" vertical="top" wrapText="1"/>
    </xf>
    <xf numFmtId="164" fontId="0" fillId="0" borderId="0" xfId="0" applyNumberFormat="1"/>
    <xf numFmtId="0" fontId="0" fillId="0" borderId="0" xfId="0" applyAlignment="1"/>
    <xf numFmtId="0" fontId="17" fillId="9" borderId="0" xfId="0" applyFont="1" applyFill="1" applyAlignment="1"/>
    <xf numFmtId="0" fontId="0" fillId="0" borderId="3" xfId="0" applyBorder="1" applyAlignment="1"/>
    <xf numFmtId="0" fontId="0" fillId="0" borderId="4" xfId="0" applyBorder="1" applyAlignment="1"/>
    <xf numFmtId="0" fontId="12" fillId="0" borderId="0" xfId="0" applyFont="1" applyBorder="1"/>
    <xf numFmtId="0" fontId="0" fillId="0" borderId="0" xfId="0" applyFont="1" applyBorder="1"/>
    <xf numFmtId="0" fontId="0" fillId="0" borderId="4" xfId="0" applyFont="1" applyBorder="1" applyAlignment="1"/>
    <xf numFmtId="0" fontId="0" fillId="0" borderId="5" xfId="0" applyBorder="1" applyAlignment="1"/>
    <xf numFmtId="0" fontId="12" fillId="0" borderId="0" xfId="0" applyFont="1" applyFill="1" applyBorder="1"/>
    <xf numFmtId="0" fontId="0" fillId="0" borderId="1" xfId="0" applyFont="1" applyBorder="1"/>
    <xf numFmtId="0" fontId="0" fillId="0" borderId="0" xfId="0" applyFont="1" applyFill="1" applyBorder="1"/>
    <xf numFmtId="0" fontId="0" fillId="0" borderId="2" xfId="0" applyFont="1" applyFill="1" applyBorder="1"/>
    <xf numFmtId="0" fontId="0" fillId="0" borderId="4" xfId="0" applyFill="1" applyBorder="1" applyAlignment="1"/>
    <xf numFmtId="0" fontId="0" fillId="0" borderId="4" xfId="0" applyFont="1" applyFill="1" applyBorder="1" applyAlignment="1"/>
    <xf numFmtId="0" fontId="0" fillId="0" borderId="1" xfId="0" applyFont="1" applyFill="1" applyBorder="1"/>
    <xf numFmtId="0" fontId="0" fillId="0" borderId="5" xfId="0" applyFont="1" applyFill="1" applyBorder="1" applyAlignment="1"/>
    <xf numFmtId="0" fontId="0" fillId="0" borderId="8" xfId="0" applyFill="1" applyBorder="1"/>
    <xf numFmtId="0" fontId="0" fillId="0" borderId="3" xfId="0" applyFont="1" applyFill="1" applyBorder="1" applyAlignment="1"/>
    <xf numFmtId="0" fontId="0" fillId="0" borderId="2" xfId="0" applyFill="1" applyBorder="1"/>
    <xf numFmtId="0" fontId="0" fillId="0" borderId="3" xfId="0" applyFill="1" applyBorder="1" applyAlignment="1"/>
    <xf numFmtId="0" fontId="7" fillId="0" borderId="2" xfId="0" applyFont="1" applyBorder="1"/>
    <xf numFmtId="0" fontId="0" fillId="0" borderId="23" xfId="0" applyBorder="1"/>
    <xf numFmtId="0" fontId="0" fillId="0" borderId="24" xfId="0" applyBorder="1"/>
    <xf numFmtId="0" fontId="0" fillId="0" borderId="25" xfId="0" applyBorder="1" applyAlignment="1"/>
    <xf numFmtId="0" fontId="0" fillId="0" borderId="24" xfId="0" applyFont="1" applyFill="1" applyBorder="1"/>
    <xf numFmtId="0" fontId="0" fillId="0" borderId="25" xfId="0" applyFont="1" applyFill="1" applyBorder="1" applyAlignment="1"/>
    <xf numFmtId="0" fontId="0" fillId="0" borderId="23" xfId="0" applyFill="1" applyBorder="1"/>
    <xf numFmtId="0" fontId="0" fillId="0" borderId="24" xfId="0" applyFill="1" applyBorder="1"/>
    <xf numFmtId="0" fontId="12" fillId="0" borderId="24" xfId="0" applyFont="1" applyFill="1" applyBorder="1"/>
    <xf numFmtId="0" fontId="0" fillId="0" borderId="25" xfId="0" applyFill="1" applyBorder="1" applyAlignment="1"/>
    <xf numFmtId="0" fontId="7" fillId="0" borderId="24" xfId="0" applyFont="1" applyBorder="1"/>
    <xf numFmtId="0" fontId="17" fillId="9" borderId="12" xfId="0" applyFont="1" applyFill="1" applyBorder="1" applyAlignment="1">
      <alignment horizontal="center"/>
    </xf>
    <xf numFmtId="0" fontId="30" fillId="0" borderId="4" xfId="0" applyFont="1" applyBorder="1" applyAlignment="1"/>
    <xf numFmtId="0" fontId="30" fillId="0" borderId="4" xfId="0" applyFont="1" applyFill="1" applyBorder="1" applyAlignment="1"/>
    <xf numFmtId="0" fontId="9" fillId="0" borderId="4" xfId="0" applyFont="1" applyBorder="1"/>
    <xf numFmtId="0" fontId="30" fillId="0" borderId="25" xfId="0" applyFont="1" applyBorder="1" applyAlignment="1"/>
    <xf numFmtId="0" fontId="7" fillId="0" borderId="4" xfId="0" applyFont="1" applyBorder="1" applyAlignment="1"/>
    <xf numFmtId="0" fontId="0" fillId="0" borderId="26" xfId="0" applyBorder="1"/>
    <xf numFmtId="0" fontId="0" fillId="0" borderId="27" xfId="0" applyBorder="1"/>
    <xf numFmtId="0" fontId="0" fillId="0" borderId="27" xfId="0" applyFill="1" applyBorder="1"/>
    <xf numFmtId="0" fontId="0" fillId="0" borderId="5" xfId="0" applyFill="1" applyBorder="1" applyAlignment="1"/>
    <xf numFmtId="0" fontId="0" fillId="0" borderId="28" xfId="0" applyBorder="1"/>
    <xf numFmtId="0" fontId="0" fillId="0" borderId="29" xfId="0" applyFill="1" applyBorder="1"/>
    <xf numFmtId="0" fontId="0" fillId="0" borderId="29" xfId="0" applyBorder="1"/>
    <xf numFmtId="0" fontId="0" fillId="0" borderId="30" xfId="0" applyFill="1" applyBorder="1" applyAlignment="1"/>
    <xf numFmtId="0" fontId="10" fillId="4" borderId="0" xfId="0" applyFont="1" applyFill="1" applyBorder="1" applyAlignment="1">
      <alignment horizontal="center" vertical="top" wrapText="1"/>
    </xf>
    <xf numFmtId="0" fontId="2" fillId="5" borderId="0" xfId="0" applyNumberFormat="1" applyFont="1" applyFill="1" applyAlignment="1">
      <alignment vertical="top"/>
    </xf>
    <xf numFmtId="0" fontId="2" fillId="4" borderId="0" xfId="0" applyNumberFormat="1" applyFont="1" applyFill="1" applyAlignment="1">
      <alignment vertical="top"/>
    </xf>
    <xf numFmtId="0" fontId="0" fillId="4" borderId="0" xfId="0" applyFill="1"/>
    <xf numFmtId="0" fontId="32" fillId="11" borderId="0" xfId="0" applyFont="1" applyFill="1" applyAlignment="1">
      <alignment vertical="center" wrapText="1"/>
    </xf>
    <xf numFmtId="0" fontId="32" fillId="4" borderId="0" xfId="0" applyFont="1" applyFill="1" applyAlignment="1">
      <alignment vertical="center" wrapText="1"/>
    </xf>
    <xf numFmtId="0" fontId="31" fillId="4" borderId="0" xfId="0" applyFont="1" applyFill="1" applyAlignment="1">
      <alignment vertical="center" wrapText="1"/>
    </xf>
    <xf numFmtId="0" fontId="32" fillId="4" borderId="0" xfId="0" applyFont="1" applyFill="1" applyAlignment="1">
      <alignment horizontal="center" vertical="center" wrapText="1"/>
    </xf>
    <xf numFmtId="0" fontId="31" fillId="11" borderId="0" xfId="0" applyFont="1" applyFill="1" applyAlignment="1">
      <alignment vertical="center" wrapText="1"/>
    </xf>
    <xf numFmtId="0" fontId="32" fillId="11" borderId="0" xfId="0" applyFont="1" applyFill="1" applyAlignment="1">
      <alignment horizontal="center" vertical="center" wrapText="1"/>
    </xf>
    <xf numFmtId="0" fontId="0" fillId="0" borderId="0" xfId="0" applyAlignment="1">
      <alignment horizontal="center"/>
    </xf>
    <xf numFmtId="0" fontId="0" fillId="0" borderId="0" xfId="0" applyAlignment="1">
      <alignment horizontal="left" vertical="top"/>
    </xf>
    <xf numFmtId="49" fontId="32" fillId="11" borderId="0" xfId="0" applyNumberFormat="1" applyFont="1" applyFill="1" applyAlignment="1">
      <alignment horizontal="center" vertical="center" wrapText="1"/>
    </xf>
    <xf numFmtId="49" fontId="32" fillId="4" borderId="0" xfId="0" applyNumberFormat="1" applyFont="1" applyFill="1" applyAlignment="1">
      <alignment horizontal="center" vertical="center" wrapText="1"/>
    </xf>
    <xf numFmtId="0" fontId="33" fillId="9" borderId="0" xfId="0" applyFont="1" applyFill="1" applyAlignment="1">
      <alignment horizontal="left" vertical="top" wrapText="1"/>
    </xf>
    <xf numFmtId="49" fontId="33" fillId="9" borderId="0" xfId="0" applyNumberFormat="1" applyFont="1" applyFill="1" applyAlignment="1">
      <alignment horizontal="left" vertical="top" wrapText="1"/>
    </xf>
    <xf numFmtId="0" fontId="33" fillId="9" borderId="0" xfId="0" applyFont="1" applyFill="1" applyAlignment="1">
      <alignment horizontal="center" vertical="top" wrapText="1"/>
    </xf>
    <xf numFmtId="0" fontId="0" fillId="0" borderId="3" xfId="0" applyBorder="1"/>
    <xf numFmtId="0" fontId="0" fillId="0" borderId="11" xfId="0" applyBorder="1"/>
    <xf numFmtId="0" fontId="0" fillId="0" borderId="12" xfId="0" applyBorder="1"/>
    <xf numFmtId="0" fontId="0" fillId="0" borderId="22" xfId="0" applyBorder="1"/>
    <xf numFmtId="0" fontId="0" fillId="0" borderId="12" xfId="0" applyFill="1" applyBorder="1"/>
    <xf numFmtId="0" fontId="32" fillId="0" borderId="31" xfId="0" applyFont="1" applyFill="1" applyBorder="1" applyAlignment="1">
      <alignment vertical="center" wrapText="1"/>
    </xf>
    <xf numFmtId="0" fontId="32" fillId="0" borderId="32" xfId="0" applyFont="1" applyFill="1" applyBorder="1" applyAlignment="1">
      <alignment vertical="center" wrapText="1"/>
    </xf>
    <xf numFmtId="0" fontId="32" fillId="0" borderId="33" xfId="0" applyFont="1" applyFill="1" applyBorder="1" applyAlignment="1">
      <alignment vertical="center" wrapText="1"/>
    </xf>
    <xf numFmtId="0" fontId="32" fillId="0" borderId="0" xfId="0" applyFont="1" applyFill="1" applyAlignment="1">
      <alignment vertical="center" wrapText="1"/>
    </xf>
    <xf numFmtId="0" fontId="33" fillId="9" borderId="0" xfId="0" applyFont="1" applyFill="1" applyAlignment="1">
      <alignment horizontal="left" vertical="top" wrapText="1"/>
    </xf>
    <xf numFmtId="164" fontId="0" fillId="0" borderId="4" xfId="0" applyNumberFormat="1" applyFont="1" applyFill="1" applyBorder="1"/>
    <xf numFmtId="0" fontId="2" fillId="7" borderId="4" xfId="0" applyFont="1" applyFill="1" applyBorder="1" applyAlignment="1">
      <alignment vertical="top" wrapText="1"/>
    </xf>
    <xf numFmtId="164" fontId="0" fillId="7" borderId="4" xfId="0" applyNumberFormat="1" applyFont="1" applyFill="1" applyBorder="1"/>
    <xf numFmtId="0" fontId="0" fillId="7" borderId="10" xfId="0" applyFill="1" applyBorder="1"/>
    <xf numFmtId="0" fontId="6" fillId="7" borderId="1" xfId="1" applyFont="1" applyFill="1" applyBorder="1" applyAlignment="1">
      <alignment vertical="center" wrapText="1"/>
    </xf>
    <xf numFmtId="164" fontId="7" fillId="7" borderId="1" xfId="0" applyNumberFormat="1" applyFont="1" applyFill="1" applyBorder="1"/>
    <xf numFmtId="164" fontId="0" fillId="7" borderId="1" xfId="0" applyNumberFormat="1" applyFont="1" applyFill="1" applyBorder="1"/>
    <xf numFmtId="164" fontId="0" fillId="7" borderId="5" xfId="0" applyNumberFormat="1" applyFont="1" applyFill="1" applyBorder="1"/>
    <xf numFmtId="0" fontId="0" fillId="0" borderId="22"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2" fillId="0" borderId="4" xfId="0" applyFont="1" applyFill="1" applyBorder="1" applyAlignment="1">
      <alignment vertical="top" wrapText="1"/>
    </xf>
    <xf numFmtId="0" fontId="0" fillId="0" borderId="34" xfId="0" applyBorder="1"/>
    <xf numFmtId="0" fontId="0" fillId="0" borderId="35" xfId="0" applyBorder="1" applyAlignment="1"/>
    <xf numFmtId="0" fontId="0" fillId="0" borderId="36" xfId="0" applyBorder="1"/>
    <xf numFmtId="0" fontId="0" fillId="0" borderId="37" xfId="0" applyFill="1" applyBorder="1"/>
    <xf numFmtId="0" fontId="0" fillId="0" borderId="37" xfId="0" applyBorder="1"/>
    <xf numFmtId="0" fontId="0" fillId="0" borderId="38" xfId="0" applyBorder="1" applyAlignment="1"/>
    <xf numFmtId="0" fontId="0" fillId="0" borderId="39" xfId="0" applyBorder="1"/>
    <xf numFmtId="0" fontId="0" fillId="0" borderId="40" xfId="0" applyFill="1" applyBorder="1"/>
    <xf numFmtId="0" fontId="0" fillId="0" borderId="40" xfId="0" applyBorder="1"/>
    <xf numFmtId="0" fontId="0" fillId="0" borderId="41" xfId="0" applyBorder="1" applyAlignment="1"/>
    <xf numFmtId="0" fontId="0" fillId="0" borderId="42" xfId="0" applyBorder="1"/>
    <xf numFmtId="0" fontId="0" fillId="0" borderId="43" xfId="0" applyFill="1" applyBorder="1"/>
    <xf numFmtId="0" fontId="0" fillId="0" borderId="43" xfId="0" applyBorder="1"/>
    <xf numFmtId="0" fontId="0" fillId="0" borderId="44" xfId="0" applyBorder="1" applyAlignment="1"/>
    <xf numFmtId="0" fontId="0" fillId="0" borderId="4" xfId="0" applyFill="1" applyBorder="1"/>
    <xf numFmtId="0" fontId="0" fillId="12" borderId="0" xfId="0" applyFill="1" applyBorder="1"/>
    <xf numFmtId="0" fontId="0" fillId="12" borderId="29" xfId="0" applyFill="1" applyBorder="1"/>
    <xf numFmtId="0" fontId="0" fillId="0" borderId="30" xfId="0" applyBorder="1" applyAlignment="1"/>
    <xf numFmtId="0" fontId="0" fillId="0" borderId="45" xfId="0" applyBorder="1"/>
    <xf numFmtId="0" fontId="0" fillId="12" borderId="27" xfId="0" applyFill="1" applyBorder="1"/>
    <xf numFmtId="0" fontId="0" fillId="0" borderId="46" xfId="0" applyBorder="1"/>
    <xf numFmtId="0" fontId="0" fillId="0" borderId="47" xfId="0" applyBorder="1"/>
    <xf numFmtId="0" fontId="0" fillId="0" borderId="47" xfId="0" applyFill="1" applyBorder="1"/>
    <xf numFmtId="0" fontId="0" fillId="0" borderId="48" xfId="0" applyBorder="1" applyAlignment="1"/>
    <xf numFmtId="0" fontId="0" fillId="0" borderId="50" xfId="0" applyBorder="1"/>
    <xf numFmtId="0" fontId="0" fillId="0" borderId="50" xfId="0" applyFill="1" applyBorder="1"/>
    <xf numFmtId="0" fontId="0" fillId="0" borderId="51" xfId="0" applyBorder="1"/>
    <xf numFmtId="0" fontId="0" fillId="0" borderId="46" xfId="0" applyFill="1" applyBorder="1"/>
    <xf numFmtId="0" fontId="0" fillId="0" borderId="52" xfId="0" applyFill="1" applyBorder="1"/>
    <xf numFmtId="0" fontId="0" fillId="0" borderId="53" xfId="0" applyBorder="1" applyAlignment="1"/>
    <xf numFmtId="0" fontId="0" fillId="0" borderId="49" xfId="0" applyFill="1" applyBorder="1"/>
    <xf numFmtId="0" fontId="0" fillId="0" borderId="52" xfId="0" applyBorder="1"/>
    <xf numFmtId="0" fontId="17" fillId="9" borderId="12" xfId="0" applyFont="1" applyFill="1" applyBorder="1" applyAlignment="1">
      <alignment horizontal="center"/>
    </xf>
    <xf numFmtId="0" fontId="17" fillId="9" borderId="14" xfId="0" applyFont="1" applyFill="1" applyBorder="1" applyAlignment="1">
      <alignment horizontal="center"/>
    </xf>
    <xf numFmtId="0" fontId="0" fillId="7" borderId="4" xfId="0" applyFill="1" applyBorder="1" applyAlignment="1">
      <alignment horizontal="left"/>
    </xf>
    <xf numFmtId="0" fontId="0" fillId="7" borderId="0" xfId="0" applyFill="1" applyBorder="1" applyAlignment="1">
      <alignment horizontal="left"/>
    </xf>
    <xf numFmtId="0" fontId="17" fillId="9" borderId="14" xfId="0" applyFont="1" applyFill="1" applyBorder="1" applyAlignment="1">
      <alignment horizontal="center"/>
    </xf>
    <xf numFmtId="0" fontId="17" fillId="0" borderId="0" xfId="0" applyFont="1" applyFill="1" applyBorder="1" applyAlignment="1">
      <alignment horizontal="center"/>
    </xf>
    <xf numFmtId="0" fontId="16" fillId="0" borderId="0" xfId="0" applyFont="1" applyFill="1" applyBorder="1" applyAlignment="1">
      <alignment horizontal="center" wrapText="1"/>
    </xf>
    <xf numFmtId="0" fontId="7" fillId="0" borderId="9" xfId="0" applyFont="1" applyFill="1" applyBorder="1"/>
    <xf numFmtId="0" fontId="7" fillId="0" borderId="4" xfId="0" applyFont="1" applyFill="1" applyBorder="1"/>
    <xf numFmtId="0" fontId="7" fillId="0" borderId="8"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9" xfId="0" applyFont="1" applyFill="1" applyBorder="1" applyAlignment="1">
      <alignment horizontal="center"/>
    </xf>
    <xf numFmtId="0" fontId="7" fillId="0" borderId="0" xfId="0" applyFont="1" applyFill="1" applyBorder="1" applyAlignment="1">
      <alignment horizontal="center"/>
    </xf>
    <xf numFmtId="0" fontId="7" fillId="0" borderId="4" xfId="0" applyFont="1" applyFill="1" applyBorder="1" applyAlignment="1">
      <alignment horizontal="center"/>
    </xf>
    <xf numFmtId="0" fontId="7" fillId="0" borderId="10" xfId="0" applyFont="1" applyFill="1" applyBorder="1" applyAlignment="1">
      <alignment horizontal="center"/>
    </xf>
    <xf numFmtId="0" fontId="7" fillId="0" borderId="1" xfId="0" applyFont="1" applyFill="1" applyBorder="1" applyAlignment="1">
      <alignment horizontal="center"/>
    </xf>
    <xf numFmtId="0" fontId="7" fillId="0" borderId="5" xfId="0" applyFont="1" applyFill="1" applyBorder="1" applyAlignment="1">
      <alignment horizontal="center"/>
    </xf>
    <xf numFmtId="0" fontId="7" fillId="0" borderId="24" xfId="0" applyFont="1" applyFill="1" applyBorder="1"/>
    <xf numFmtId="167" fontId="0" fillId="7" borderId="0" xfId="0" applyNumberFormat="1" applyFont="1" applyFill="1" applyBorder="1"/>
    <xf numFmtId="165" fontId="0" fillId="7" borderId="4" xfId="0" applyNumberFormat="1" applyFont="1" applyFill="1" applyBorder="1"/>
    <xf numFmtId="165" fontId="12" fillId="7" borderId="0" xfId="0" applyNumberFormat="1" applyFont="1" applyFill="1" applyBorder="1"/>
    <xf numFmtId="165" fontId="0" fillId="7" borderId="1" xfId="0" applyNumberFormat="1" applyFont="1" applyFill="1" applyBorder="1"/>
    <xf numFmtId="167" fontId="0" fillId="7" borderId="1" xfId="0" applyNumberFormat="1" applyFont="1" applyFill="1" applyBorder="1"/>
    <xf numFmtId="165" fontId="0" fillId="7" borderId="5" xfId="0" applyNumberFormat="1" applyFont="1" applyFill="1" applyBorder="1"/>
    <xf numFmtId="165" fontId="12" fillId="0" borderId="0" xfId="0" applyNumberFormat="1" applyFont="1" applyFill="1" applyBorder="1"/>
    <xf numFmtId="167" fontId="0" fillId="0" borderId="0" xfId="0" applyNumberFormat="1" applyFont="1" applyFill="1" applyBorder="1"/>
    <xf numFmtId="0" fontId="0" fillId="0" borderId="0" xfId="0" applyFill="1" applyBorder="1" applyAlignment="1">
      <alignment horizontal="left"/>
    </xf>
    <xf numFmtId="0" fontId="0" fillId="0" borderId="4" xfId="0" applyFill="1" applyBorder="1" applyAlignment="1">
      <alignment horizontal="left"/>
    </xf>
    <xf numFmtId="0" fontId="0" fillId="0" borderId="47" xfId="0" applyFont="1" applyFill="1" applyBorder="1"/>
    <xf numFmtId="0" fontId="0" fillId="0" borderId="48" xfId="0" applyFont="1" applyFill="1" applyBorder="1" applyAlignment="1"/>
    <xf numFmtId="0" fontId="0" fillId="7" borderId="5" xfId="0" applyFill="1" applyBorder="1"/>
    <xf numFmtId="0" fontId="0" fillId="0" borderId="3" xfId="0" applyFill="1" applyBorder="1"/>
    <xf numFmtId="164" fontId="7" fillId="7" borderId="0" xfId="0" applyNumberFormat="1" applyFont="1" applyFill="1" applyBorder="1" applyAlignment="1">
      <alignment horizontal="right"/>
    </xf>
    <xf numFmtId="0" fontId="7" fillId="7" borderId="4" xfId="0" applyFont="1" applyFill="1" applyBorder="1" applyAlignment="1">
      <alignment horizontal="left"/>
    </xf>
    <xf numFmtId="164" fontId="7" fillId="0" borderId="0" xfId="0" applyNumberFormat="1" applyFont="1" applyBorder="1" applyAlignment="1">
      <alignment horizontal="right"/>
    </xf>
    <xf numFmtId="0" fontId="7" fillId="0" borderId="4" xfId="0" applyFont="1" applyBorder="1" applyAlignment="1">
      <alignment horizontal="left"/>
    </xf>
    <xf numFmtId="164" fontId="7" fillId="0" borderId="1" xfId="0" applyNumberFormat="1" applyFont="1" applyBorder="1" applyAlignment="1">
      <alignment horizontal="right"/>
    </xf>
    <xf numFmtId="0" fontId="7" fillId="0" borderId="5" xfId="0" applyFont="1" applyBorder="1" applyAlignment="1">
      <alignment horizontal="left"/>
    </xf>
    <xf numFmtId="0" fontId="1" fillId="6" borderId="21" xfId="0" applyFont="1" applyFill="1" applyBorder="1"/>
    <xf numFmtId="0" fontId="1" fillId="6" borderId="12" xfId="0" applyFont="1" applyFill="1" applyBorder="1"/>
    <xf numFmtId="164" fontId="0" fillId="7" borderId="0" xfId="0" applyNumberFormat="1" applyFill="1" applyBorder="1" applyAlignment="1">
      <alignment horizontal="right"/>
    </xf>
    <xf numFmtId="0" fontId="0" fillId="7" borderId="4" xfId="0" applyFill="1" applyBorder="1" applyAlignment="1">
      <alignment horizontal="left"/>
    </xf>
    <xf numFmtId="0" fontId="0" fillId="7" borderId="5" xfId="0" applyFill="1" applyBorder="1" applyAlignment="1">
      <alignment horizontal="left"/>
    </xf>
    <xf numFmtId="0" fontId="0" fillId="0" borderId="4" xfId="0" applyFill="1" applyBorder="1" applyAlignment="1">
      <alignment horizontal="left"/>
    </xf>
    <xf numFmtId="0" fontId="0" fillId="0" borderId="4" xfId="0" applyBorder="1" applyAlignment="1">
      <alignment horizontal="left"/>
    </xf>
    <xf numFmtId="164" fontId="0" fillId="7" borderId="1" xfId="0" applyNumberFormat="1" applyFill="1" applyBorder="1" applyAlignment="1">
      <alignment horizontal="right"/>
    </xf>
    <xf numFmtId="164" fontId="0" fillId="0" borderId="0" xfId="0" applyNumberFormat="1" applyBorder="1" applyAlignment="1">
      <alignment horizontal="right"/>
    </xf>
    <xf numFmtId="0" fontId="0" fillId="7" borderId="0" xfId="0" applyFill="1" applyBorder="1" applyAlignment="1">
      <alignment horizontal="left"/>
    </xf>
    <xf numFmtId="164" fontId="0" fillId="0" borderId="0" xfId="0" applyNumberFormat="1" applyFill="1" applyBorder="1" applyAlignment="1">
      <alignment horizontal="right"/>
    </xf>
    <xf numFmtId="0" fontId="17" fillId="9" borderId="17" xfId="0" applyFont="1" applyFill="1" applyBorder="1" applyAlignment="1">
      <alignment horizontal="center"/>
    </xf>
    <xf numFmtId="0" fontId="17" fillId="9" borderId="12" xfId="0" applyFont="1" applyFill="1" applyBorder="1" applyAlignment="1">
      <alignment horizontal="center"/>
    </xf>
    <xf numFmtId="0" fontId="16" fillId="9" borderId="17" xfId="0" applyFont="1" applyFill="1" applyBorder="1" applyAlignment="1">
      <alignment horizontal="center" wrapText="1"/>
    </xf>
    <xf numFmtId="0" fontId="16" fillId="9" borderId="12" xfId="0" applyFont="1" applyFill="1" applyBorder="1" applyAlignment="1">
      <alignment horizontal="center" wrapText="1"/>
    </xf>
    <xf numFmtId="0" fontId="17" fillId="9" borderId="14" xfId="0" applyFont="1" applyFill="1" applyBorder="1" applyAlignment="1">
      <alignment horizontal="center"/>
    </xf>
    <xf numFmtId="0" fontId="17" fillId="0" borderId="0" xfId="0" applyFont="1" applyFill="1" applyBorder="1" applyAlignment="1">
      <alignment horizontal="center"/>
    </xf>
    <xf numFmtId="0" fontId="16" fillId="0" borderId="0" xfId="0" applyFont="1" applyFill="1" applyBorder="1" applyAlignment="1">
      <alignment horizontal="center" wrapText="1"/>
    </xf>
    <xf numFmtId="0" fontId="1" fillId="9" borderId="0" xfId="0" applyFont="1" applyFill="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15" fillId="5" borderId="0" xfId="0" applyFont="1" applyFill="1" applyAlignment="1">
      <alignment vertical="top" wrapText="1"/>
    </xf>
    <xf numFmtId="0" fontId="15" fillId="4" borderId="0" xfId="0" applyFont="1" applyFill="1" applyAlignment="1">
      <alignment vertical="top" wrapText="1"/>
    </xf>
    <xf numFmtId="0" fontId="33" fillId="9" borderId="0" xfId="0" applyFont="1" applyFill="1" applyAlignment="1">
      <alignment horizontal="left" vertical="top" wrapText="1"/>
    </xf>
  </cellXfs>
  <cellStyles count="2">
    <cellStyle name="Lien hypertexte" xfId="1" builtinId="8"/>
    <cellStyle name="Normal" xfId="0" builtinId="0"/>
  </cellStyles>
  <dxfs count="2">
    <dxf>
      <fill>
        <patternFill>
          <bgColor theme="3" tint="0.79998168889431442"/>
        </patternFill>
      </fill>
    </dxf>
    <dxf>
      <fill>
        <patternFill>
          <bgColor theme="3"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paladin/" TargetMode="External"/><Relationship Id="rId13" Type="http://schemas.openxmlformats.org/officeDocument/2006/relationships/hyperlink" Target="https://www.aidedd.org/regles/classes/barde/" TargetMode="External"/><Relationship Id="rId3" Type="http://schemas.openxmlformats.org/officeDocument/2006/relationships/hyperlink" Target="https://www.aidedd.org/regles/classes/druide/" TargetMode="External"/><Relationship Id="rId7" Type="http://schemas.openxmlformats.org/officeDocument/2006/relationships/hyperlink" Target="https://www.aidedd.org/regles/classes/moine/" TargetMode="External"/><Relationship Id="rId12" Type="http://schemas.openxmlformats.org/officeDocument/2006/relationships/hyperlink" Target="https://www.aidedd.org/regles/classes/barbare/" TargetMode="External"/><Relationship Id="rId2" Type="http://schemas.openxmlformats.org/officeDocument/2006/relationships/hyperlink" Target="https://www.aidedd.org/regles/classes/clerc/" TargetMode="External"/><Relationship Id="rId1" Type="http://schemas.openxmlformats.org/officeDocument/2006/relationships/hyperlink" Target="https://www.aidedd.org/regles/classes/barde/" TargetMode="External"/><Relationship Id="rId6" Type="http://schemas.openxmlformats.org/officeDocument/2006/relationships/hyperlink" Target="https://www.aidedd.org/regles/classes/magicien/" TargetMode="External"/><Relationship Id="rId11" Type="http://schemas.openxmlformats.org/officeDocument/2006/relationships/hyperlink" Target="https://www.aidedd.org/regles/classes/rodeur/" TargetMode="External"/><Relationship Id="rId5" Type="http://schemas.openxmlformats.org/officeDocument/2006/relationships/hyperlink" Target="https://www.aidedd.org/regles/classes/guerrier/" TargetMode="External"/><Relationship Id="rId10" Type="http://schemas.openxmlformats.org/officeDocument/2006/relationships/hyperlink" Target="https://www.aidedd.org/regles/classes/sorcier/" TargetMode="External"/><Relationship Id="rId4" Type="http://schemas.openxmlformats.org/officeDocument/2006/relationships/hyperlink" Target="https://www.aidedd.org/regles/classes/ensorceleur/" TargetMode="External"/><Relationship Id="rId9" Type="http://schemas.openxmlformats.org/officeDocument/2006/relationships/hyperlink" Target="https://www.aidedd.org/regles/classes/roublard/" TargetMode="External"/><Relationship Id="rId1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61" customWidth="1"/>
    <col min="5" max="5" width="48.140625" customWidth="1"/>
    <col min="8" max="8" width="65.42578125" customWidth="1"/>
  </cols>
  <sheetData>
    <row r="1" spans="1:8" ht="16.5" customHeight="1">
      <c r="A1" s="2" t="s">
        <v>0</v>
      </c>
      <c r="B1" s="11" t="s">
        <v>1</v>
      </c>
      <c r="C1" s="1" t="s">
        <v>2</v>
      </c>
      <c r="D1" s="59"/>
    </row>
    <row r="2" spans="1:8">
      <c r="A2" s="3">
        <v>1</v>
      </c>
      <c r="B2" s="12">
        <v>0</v>
      </c>
      <c r="C2" s="7">
        <v>2</v>
      </c>
      <c r="D2" s="60"/>
      <c r="E2" t="str">
        <f>""""&amp;A2&amp;""": {
  ""Level"": "&amp;A2&amp;",
  ""XP"" : "&amp;B2&amp;",
  ""MasteryBonus"": "&amp;C2&amp;"
  }"</f>
        <v>"1": {
  "Level": 1,
  "XP" : 0,
  "MasteryBonus": 2
  }</v>
      </c>
    </row>
    <row r="3" spans="1:8">
      <c r="A3" s="4">
        <v>2</v>
      </c>
      <c r="B3" s="13">
        <v>300</v>
      </c>
      <c r="C3" s="8">
        <v>2</v>
      </c>
      <c r="D3" s="60"/>
      <c r="E3" t="str">
        <f t="shared" ref="E3:E21" si="0">""""&amp;A3&amp;""": {
  ""Level"": "&amp;A3&amp;",
  ""XP"" : "&amp;B3&amp;",
  ""MasteryBonus"": "&amp;C3&amp;"
  }"</f>
        <v>"2": {
  "Level": 2,
  "XP" : 300,
  "MasteryBonus": 2
  }</v>
      </c>
    </row>
    <row r="4" spans="1:8">
      <c r="A4" s="5">
        <v>3</v>
      </c>
      <c r="B4" s="14">
        <v>900</v>
      </c>
      <c r="C4" s="9">
        <v>2</v>
      </c>
      <c r="D4" s="60"/>
      <c r="E4" t="str">
        <f t="shared" si="0"/>
        <v>"3": {
  "Level": 3,
  "XP" : 900,
  "MasteryBonus": 2
  }</v>
      </c>
    </row>
    <row r="5" spans="1:8" ht="15.75">
      <c r="A5" s="4">
        <v>4</v>
      </c>
      <c r="B5" s="15">
        <v>2700</v>
      </c>
      <c r="C5" s="8">
        <v>2</v>
      </c>
      <c r="D5" s="60"/>
      <c r="E5" t="str">
        <f t="shared" si="0"/>
        <v>"4": {
  "Level": 4,
  "XP" : 2700,
  "MasteryBonus": 2
  }</v>
      </c>
      <c r="H5" s="19"/>
    </row>
    <row r="6" spans="1:8">
      <c r="A6" s="5">
        <v>5</v>
      </c>
      <c r="B6" s="16">
        <v>6500</v>
      </c>
      <c r="C6" s="9">
        <v>3</v>
      </c>
      <c r="D6" s="60"/>
      <c r="E6" t="str">
        <f t="shared" si="0"/>
        <v>"5": {
  "Level": 5,
  "XP" : 6500,
  "MasteryBonus": 3
  }</v>
      </c>
    </row>
    <row r="7" spans="1:8">
      <c r="A7" s="4">
        <v>6</v>
      </c>
      <c r="B7" s="15">
        <v>14000</v>
      </c>
      <c r="C7" s="8">
        <v>3</v>
      </c>
      <c r="D7" s="60"/>
      <c r="E7" t="str">
        <f t="shared" si="0"/>
        <v>"6": {
  "Level": 6,
  "XP" : 14000,
  "MasteryBonus": 3
  }</v>
      </c>
    </row>
    <row r="8" spans="1:8">
      <c r="A8" s="5">
        <v>7</v>
      </c>
      <c r="B8" s="16">
        <v>23000</v>
      </c>
      <c r="C8" s="9">
        <v>3</v>
      </c>
      <c r="D8" s="60"/>
      <c r="E8" t="str">
        <f t="shared" si="0"/>
        <v>"7": {
  "Level": 7,
  "XP" : 23000,
  "MasteryBonus": 3
  }</v>
      </c>
    </row>
    <row r="9" spans="1:8">
      <c r="A9" s="4">
        <v>8</v>
      </c>
      <c r="B9" s="15">
        <v>34000</v>
      </c>
      <c r="C9" s="8">
        <v>3</v>
      </c>
      <c r="D9" s="60"/>
      <c r="E9" t="str">
        <f t="shared" si="0"/>
        <v>"8": {
  "Level": 8,
  "XP" : 34000,
  "MasteryBonus": 3
  }</v>
      </c>
    </row>
    <row r="10" spans="1:8">
      <c r="A10" s="5">
        <v>9</v>
      </c>
      <c r="B10" s="16">
        <v>48000</v>
      </c>
      <c r="C10" s="9">
        <v>4</v>
      </c>
      <c r="D10" s="60"/>
      <c r="E10" t="str">
        <f t="shared" si="0"/>
        <v>"9": {
  "Level": 9,
  "XP" : 48000,
  "MasteryBonus": 4
  }</v>
      </c>
    </row>
    <row r="11" spans="1:8">
      <c r="A11" s="4">
        <v>10</v>
      </c>
      <c r="B11" s="15">
        <v>64000</v>
      </c>
      <c r="C11" s="8">
        <v>4</v>
      </c>
      <c r="D11" s="60"/>
      <c r="E11" t="str">
        <f t="shared" si="0"/>
        <v>"10": {
  "Level": 10,
  "XP" : 64000,
  "MasteryBonus": 4
  }</v>
      </c>
    </row>
    <row r="12" spans="1:8">
      <c r="A12" s="5">
        <v>11</v>
      </c>
      <c r="B12" s="16">
        <v>85000</v>
      </c>
      <c r="C12" s="9">
        <v>4</v>
      </c>
      <c r="D12" s="60"/>
      <c r="E12" t="str">
        <f t="shared" si="0"/>
        <v>"11": {
  "Level": 11,
  "XP" : 85000,
  "MasteryBonus": 4
  }</v>
      </c>
    </row>
    <row r="13" spans="1:8">
      <c r="A13" s="4">
        <v>12</v>
      </c>
      <c r="B13" s="15">
        <v>100000</v>
      </c>
      <c r="C13" s="8">
        <v>4</v>
      </c>
      <c r="D13" s="60"/>
      <c r="E13" t="str">
        <f t="shared" si="0"/>
        <v>"12": {
  "Level": 12,
  "XP" : 100000,
  "MasteryBonus": 4
  }</v>
      </c>
    </row>
    <row r="14" spans="1:8">
      <c r="A14" s="5">
        <v>13</v>
      </c>
      <c r="B14" s="16">
        <v>120000</v>
      </c>
      <c r="C14" s="9">
        <v>5</v>
      </c>
      <c r="D14" s="60"/>
      <c r="E14" t="str">
        <f t="shared" si="0"/>
        <v>"13": {
  "Level": 13,
  "XP" : 120000,
  "MasteryBonus": 5
  }</v>
      </c>
    </row>
    <row r="15" spans="1:8">
      <c r="A15" s="4">
        <v>14</v>
      </c>
      <c r="B15" s="15">
        <v>140000</v>
      </c>
      <c r="C15" s="8">
        <v>5</v>
      </c>
      <c r="D15" s="60"/>
      <c r="E15" t="str">
        <f t="shared" si="0"/>
        <v>"14": {
  "Level": 14,
  "XP" : 140000,
  "MasteryBonus": 5
  }</v>
      </c>
    </row>
    <row r="16" spans="1:8">
      <c r="A16" s="5">
        <v>15</v>
      </c>
      <c r="B16" s="16">
        <v>165000</v>
      </c>
      <c r="C16" s="9">
        <v>5</v>
      </c>
      <c r="D16" s="60"/>
      <c r="E16" t="str">
        <f t="shared" si="0"/>
        <v>"15": {
  "Level": 15,
  "XP" : 165000,
  "MasteryBonus": 5
  }</v>
      </c>
    </row>
    <row r="17" spans="1:5">
      <c r="A17" s="4">
        <v>16</v>
      </c>
      <c r="B17" s="15">
        <v>195000</v>
      </c>
      <c r="C17" s="8">
        <v>5</v>
      </c>
      <c r="D17" s="60"/>
      <c r="E17" t="str">
        <f t="shared" si="0"/>
        <v>"16": {
  "Level": 16,
  "XP" : 195000,
  "MasteryBonus": 5
  }</v>
      </c>
    </row>
    <row r="18" spans="1:5">
      <c r="A18" s="5">
        <v>17</v>
      </c>
      <c r="B18" s="16">
        <v>225000</v>
      </c>
      <c r="C18" s="9">
        <v>6</v>
      </c>
      <c r="D18" s="60"/>
      <c r="E18" t="str">
        <f t="shared" si="0"/>
        <v>"17": {
  "Level": 17,
  "XP" : 225000,
  "MasteryBonus": 6
  }</v>
      </c>
    </row>
    <row r="19" spans="1:5">
      <c r="A19" s="4">
        <v>18</v>
      </c>
      <c r="B19" s="15">
        <v>265000</v>
      </c>
      <c r="C19" s="8">
        <v>6</v>
      </c>
      <c r="D19" s="60"/>
      <c r="E19" t="str">
        <f t="shared" si="0"/>
        <v>"18": {
  "Level": 18,
  "XP" : 265000,
  "MasteryBonus": 6
  }</v>
      </c>
    </row>
    <row r="20" spans="1:5">
      <c r="A20" s="5">
        <v>19</v>
      </c>
      <c r="B20" s="16">
        <v>305000</v>
      </c>
      <c r="C20" s="9">
        <v>6</v>
      </c>
      <c r="D20" s="60"/>
      <c r="E20" t="str">
        <f t="shared" si="0"/>
        <v>"19": {
  "Level": 19,
  "XP" : 305000,
  "MasteryBonus": 6
  }</v>
      </c>
    </row>
    <row r="21" spans="1:5">
      <c r="A21" s="6">
        <v>20</v>
      </c>
      <c r="B21" s="17">
        <v>355000</v>
      </c>
      <c r="C21" s="10">
        <v>6</v>
      </c>
      <c r="D21" s="60"/>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4"/>
  <sheetViews>
    <sheetView topLeftCell="A17" workbookViewId="0">
      <selection activeCell="A36" sqref="A36"/>
    </sheetView>
  </sheetViews>
  <sheetFormatPr baseColWidth="10" defaultRowHeight="15"/>
  <cols>
    <col min="1" max="1" width="16.85546875" customWidth="1"/>
    <col min="2" max="2" width="19.28515625" customWidth="1"/>
    <col min="3" max="5" width="15.5703125" customWidth="1"/>
    <col min="7" max="7" width="11.42578125" style="42"/>
    <col min="8" max="8" width="51.7109375" customWidth="1"/>
    <col min="9" max="9" width="5.28515625" customWidth="1"/>
    <col min="10" max="10" width="12" customWidth="1"/>
    <col min="11" max="11" width="8.42578125" style="42" customWidth="1"/>
    <col min="12" max="12" width="7.140625" style="42" customWidth="1"/>
    <col min="13" max="13" width="23" customWidth="1"/>
  </cols>
  <sheetData>
    <row r="1" spans="1:13" ht="15" customHeight="1">
      <c r="A1" s="27" t="s">
        <v>14</v>
      </c>
      <c r="B1" s="28" t="s">
        <v>15</v>
      </c>
      <c r="C1" s="28" t="s">
        <v>16</v>
      </c>
      <c r="D1" s="28" t="s">
        <v>996</v>
      </c>
      <c r="E1" s="28" t="s">
        <v>2543</v>
      </c>
      <c r="F1" s="28" t="s">
        <v>17</v>
      </c>
      <c r="G1" s="43" t="s">
        <v>18</v>
      </c>
      <c r="H1" s="29" t="s">
        <v>19</v>
      </c>
      <c r="I1" s="69"/>
      <c r="J1" s="69"/>
      <c r="K1" s="70"/>
      <c r="L1" s="70"/>
    </row>
    <row r="2" spans="1:13" ht="15" customHeight="1">
      <c r="A2" s="423" t="s">
        <v>20</v>
      </c>
      <c r="B2" s="424"/>
      <c r="C2" s="424"/>
      <c r="D2" s="424"/>
      <c r="E2" s="424"/>
      <c r="F2" s="424"/>
      <c r="G2" s="424"/>
      <c r="H2" s="425"/>
      <c r="I2" s="71"/>
      <c r="J2" s="71"/>
      <c r="K2" s="72"/>
      <c r="L2" s="72"/>
    </row>
    <row r="3" spans="1:13" ht="15" customHeight="1">
      <c r="A3" s="30" t="s">
        <v>125</v>
      </c>
      <c r="B3" s="31" t="s">
        <v>21</v>
      </c>
      <c r="C3" s="31" t="s">
        <v>22</v>
      </c>
      <c r="D3" s="31" t="str">
        <f>LEFT(C3,FIND(" ",C3)-1)</f>
        <v>1d6</v>
      </c>
      <c r="E3" s="31" t="str">
        <f>PROPER(RIGHT(C3,LEN(C3)-LEN(D3)))</f>
        <v xml:space="preserve"> Contondant</v>
      </c>
      <c r="F3" s="13" t="s">
        <v>23</v>
      </c>
      <c r="G3" s="13" t="s">
        <v>24</v>
      </c>
      <c r="H3" s="32" t="s">
        <v>25</v>
      </c>
      <c r="I3" s="73"/>
      <c r="J3" s="73" t="s">
        <v>2544</v>
      </c>
      <c r="K3" s="74">
        <f>IF(RIGHT(F3,2)="kg",LEFT(F3,LEN(F3)-3)*1000,LEFT(F3,LEN(F3)-2))</f>
        <v>2000</v>
      </c>
      <c r="L3" s="74">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"DamageType" : " Contondant",
 "Weight" : 2000,
 "Price" : 20,
 "Properties" : "Polyvalente (1d8)"
  }</v>
      </c>
    </row>
    <row r="4" spans="1:13" ht="15" customHeight="1">
      <c r="A4" s="33" t="s">
        <v>126</v>
      </c>
      <c r="B4" s="34" t="s">
        <v>26</v>
      </c>
      <c r="C4" s="34" t="s">
        <v>27</v>
      </c>
      <c r="D4" s="156" t="str">
        <f t="shared" ref="D4:D12" si="0">LEFT(C4,FIND(" ",C4)-1)</f>
        <v>1d4</v>
      </c>
      <c r="E4" s="156" t="str">
        <f t="shared" ref="E4:E12" si="1">PROPER(RIGHT(C4,LEN(C4)-LEN(D4)))</f>
        <v xml:space="preserve"> Perforant</v>
      </c>
      <c r="F4" s="14" t="s">
        <v>28</v>
      </c>
      <c r="G4" s="14" t="s">
        <v>29</v>
      </c>
      <c r="H4" s="35" t="s">
        <v>30</v>
      </c>
      <c r="I4" s="73"/>
      <c r="J4" s="73" t="s">
        <v>2544</v>
      </c>
      <c r="K4" s="74" t="str">
        <f t="shared" ref="K4:K12" si="2">IF(RIGHT(F4,2)="kg",LEFT(F4,LEN(F4)-3)*1000,LEFT(F4,LEN(F4)-2))</f>
        <v>500</v>
      </c>
      <c r="L4" s="74">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"DamageType" : " Perforant",
 "Weight" : 500,
 "Price" : 200,
 "Properties" : "Finesse, légère, lancer (portée 6 m/18 m)"
  }</v>
      </c>
    </row>
    <row r="5" spans="1:13" ht="15" customHeight="1">
      <c r="A5" s="30" t="s">
        <v>159</v>
      </c>
      <c r="B5" s="31" t="s">
        <v>31</v>
      </c>
      <c r="C5" s="31" t="s">
        <v>32</v>
      </c>
      <c r="D5" s="31" t="str">
        <f t="shared" si="0"/>
        <v>1d4</v>
      </c>
      <c r="E5" s="31" t="str">
        <f t="shared" si="1"/>
        <v xml:space="preserve"> Contondant</v>
      </c>
      <c r="F5" s="13" t="s">
        <v>33</v>
      </c>
      <c r="G5" s="13" t="s">
        <v>34</v>
      </c>
      <c r="H5" s="32" t="s">
        <v>35</v>
      </c>
      <c r="I5" s="73"/>
      <c r="J5" s="73" t="s">
        <v>2544</v>
      </c>
      <c r="K5" s="74">
        <f t="shared" si="2"/>
        <v>1000</v>
      </c>
      <c r="L5" s="74">
        <f t="shared" si="3"/>
        <v>10</v>
      </c>
      <c r="M5" t="str">
        <f t="shared" si="4"/>
        <v>"Gourdin": {
 "Name" : "Gourdin",
 "OV" : "Club",
 "Category": "C_MEL",
 "Damage" : "1d4",
 "DamageType" : " Contondant",
 "Weight" : 1000,
 "Price" : 10,
 "Properties" : "Légère"
  }</v>
      </c>
    </row>
    <row r="6" spans="1:13" ht="15" customHeight="1">
      <c r="A6" s="33" t="s">
        <v>158</v>
      </c>
      <c r="B6" s="34" t="s">
        <v>36</v>
      </c>
      <c r="C6" s="34" t="s">
        <v>37</v>
      </c>
      <c r="D6" s="156" t="str">
        <f t="shared" si="0"/>
        <v>1d6</v>
      </c>
      <c r="E6" s="156" t="str">
        <f t="shared" si="1"/>
        <v xml:space="preserve"> Tranchant</v>
      </c>
      <c r="F6" s="14" t="s">
        <v>33</v>
      </c>
      <c r="G6" s="14" t="s">
        <v>38</v>
      </c>
      <c r="H6" s="35" t="s">
        <v>39</v>
      </c>
      <c r="I6" s="73"/>
      <c r="J6" s="73" t="s">
        <v>2544</v>
      </c>
      <c r="K6" s="74">
        <f t="shared" si="2"/>
        <v>1000</v>
      </c>
      <c r="L6" s="74">
        <f t="shared" si="3"/>
        <v>500</v>
      </c>
      <c r="M6" t="str">
        <f t="shared" si="4"/>
        <v>"Hachette": {
 "Name" : "Hachette",
 "OV" : "Handaxe",
 "Category": "C_MEL",
 "Damage" : "1d6",
 "DamageType" : " Tranchant",
 "Weight" : 1000,
 "Price" : 500,
 "Properties" : "Légère, lancer (portée 6 m/18 m)"
  }</v>
      </c>
    </row>
    <row r="7" spans="1:13" ht="15" customHeight="1">
      <c r="A7" s="30" t="s">
        <v>157</v>
      </c>
      <c r="B7" s="31" t="s">
        <v>40</v>
      </c>
      <c r="C7" s="31" t="s">
        <v>41</v>
      </c>
      <c r="D7" s="31" t="str">
        <f t="shared" si="0"/>
        <v>1d6</v>
      </c>
      <c r="E7" s="31" t="str">
        <f t="shared" si="1"/>
        <v xml:space="preserve"> Perforant</v>
      </c>
      <c r="F7" s="13" t="s">
        <v>33</v>
      </c>
      <c r="G7" s="13" t="s">
        <v>42</v>
      </c>
      <c r="H7" s="32" t="s">
        <v>43</v>
      </c>
      <c r="I7" s="73"/>
      <c r="J7" s="73" t="s">
        <v>2544</v>
      </c>
      <c r="K7" s="74">
        <f t="shared" si="2"/>
        <v>1000</v>
      </c>
      <c r="L7" s="74">
        <f t="shared" si="3"/>
        <v>50</v>
      </c>
      <c r="M7" t="str">
        <f t="shared" si="4"/>
        <v>"Javeline": {
 "Name" : "Javeline",
 "OV" : "Javelin",
 "Category": "C_MEL",
 "Damage" : "1d6",
 "DamageType" : " Perforant",
 "Weight" : 1000,
 "Price" : 50,
 "Properties" : "Lancer (portée 9 m/36 m)"
  }</v>
      </c>
    </row>
    <row r="8" spans="1:13" ht="15" customHeight="1">
      <c r="A8" s="33" t="s">
        <v>98</v>
      </c>
      <c r="B8" s="34" t="s">
        <v>44</v>
      </c>
      <c r="C8" s="34" t="s">
        <v>41</v>
      </c>
      <c r="D8" s="156" t="str">
        <f t="shared" si="0"/>
        <v>1d6</v>
      </c>
      <c r="E8" s="156" t="str">
        <f t="shared" si="1"/>
        <v xml:space="preserve"> Perforant</v>
      </c>
      <c r="F8" s="14" t="s">
        <v>45</v>
      </c>
      <c r="G8" s="14" t="s">
        <v>46</v>
      </c>
      <c r="H8" s="35" t="s">
        <v>47</v>
      </c>
      <c r="I8" s="73"/>
      <c r="J8" s="73" t="s">
        <v>2544</v>
      </c>
      <c r="K8" s="74">
        <f t="shared" si="2"/>
        <v>1500</v>
      </c>
      <c r="L8" s="74">
        <f t="shared" si="3"/>
        <v>100</v>
      </c>
      <c r="M8" t="str">
        <f t="shared" si="4"/>
        <v>"Lance": {
 "Name" : "Lance",
 "OV" : "Spear",
 "Category": "C_MEL",
 "Damage" : "1d6",
 "DamageType" : " Perforant",
 "Weight" : 1500,
 "Price" : 100,
 "Properties" : "Lancer (portée 6 m/18 m), polyvalente (1d8)"
  }</v>
      </c>
    </row>
    <row r="9" spans="1:13" ht="15" customHeight="1">
      <c r="A9" s="30" t="s">
        <v>156</v>
      </c>
      <c r="B9" s="31" t="s">
        <v>48</v>
      </c>
      <c r="C9" s="31" t="s">
        <v>32</v>
      </c>
      <c r="D9" s="31" t="str">
        <f t="shared" si="0"/>
        <v>1d4</v>
      </c>
      <c r="E9" s="31" t="str">
        <f t="shared" si="1"/>
        <v xml:space="preserve"> Contondant</v>
      </c>
      <c r="F9" s="13" t="s">
        <v>33</v>
      </c>
      <c r="G9" s="13" t="s">
        <v>29</v>
      </c>
      <c r="H9" s="32" t="s">
        <v>39</v>
      </c>
      <c r="I9" s="73"/>
      <c r="J9" s="73" t="s">
        <v>2544</v>
      </c>
      <c r="K9" s="74">
        <f t="shared" si="2"/>
        <v>1000</v>
      </c>
      <c r="L9" s="74">
        <f t="shared" si="3"/>
        <v>200</v>
      </c>
      <c r="M9" t="str">
        <f t="shared" si="4"/>
        <v>"Marteau léger": {
 "Name" : "Marteau léger",
 "OV" : "Light hammer",
 "Category": "C_MEL",
 "Damage" : "1d4",
 "DamageType" : " Contondant",
 "Weight" : 1000,
 "Price" : 200,
 "Properties" : "Légère, lancer (portée 6 m/18 m)"
  }</v>
      </c>
    </row>
    <row r="10" spans="1:13" ht="15" customHeight="1">
      <c r="A10" s="33" t="s">
        <v>155</v>
      </c>
      <c r="B10" s="34" t="s">
        <v>49</v>
      </c>
      <c r="C10" s="34" t="s">
        <v>22</v>
      </c>
      <c r="D10" s="156" t="str">
        <f t="shared" si="0"/>
        <v>1d6</v>
      </c>
      <c r="E10" s="156" t="str">
        <f t="shared" si="1"/>
        <v xml:space="preserve"> Contondant</v>
      </c>
      <c r="F10" s="14" t="s">
        <v>23</v>
      </c>
      <c r="G10" s="14" t="s">
        <v>38</v>
      </c>
      <c r="H10" s="35" t="s">
        <v>50</v>
      </c>
      <c r="I10" s="73"/>
      <c r="J10" s="73" t="s">
        <v>2544</v>
      </c>
      <c r="K10" s="74">
        <f t="shared" si="2"/>
        <v>2000</v>
      </c>
      <c r="L10" s="74">
        <f t="shared" si="3"/>
        <v>500</v>
      </c>
      <c r="M10" t="str">
        <f t="shared" si="4"/>
        <v>"Masse d'armes": {
 "Name" : "Masse d'armes",
 "OV" : "Mace",
 "Category": "C_MEL",
 "Damage" : "1d6",
 "DamageType" : " Contondant",
 "Weight" : 2000,
 "Price" : 500,
 "Properties" : "-"
  }</v>
      </c>
    </row>
    <row r="11" spans="1:13" ht="15" customHeight="1">
      <c r="A11" s="30" t="s">
        <v>154</v>
      </c>
      <c r="B11" s="31" t="s">
        <v>51</v>
      </c>
      <c r="C11" s="31" t="s">
        <v>52</v>
      </c>
      <c r="D11" s="31" t="str">
        <f t="shared" si="0"/>
        <v>1d8</v>
      </c>
      <c r="E11" s="31" t="str">
        <f t="shared" si="1"/>
        <v xml:space="preserve"> Contondant</v>
      </c>
      <c r="F11" s="13" t="s">
        <v>53</v>
      </c>
      <c r="G11" s="13" t="s">
        <v>24</v>
      </c>
      <c r="H11" s="32" t="s">
        <v>54</v>
      </c>
      <c r="I11" s="73"/>
      <c r="J11" s="73" t="s">
        <v>2544</v>
      </c>
      <c r="K11" s="74">
        <f t="shared" si="2"/>
        <v>5000</v>
      </c>
      <c r="L11" s="74">
        <f t="shared" si="3"/>
        <v>20</v>
      </c>
      <c r="M11" t="str">
        <f t="shared" si="4"/>
        <v>"Massue": {
 "Name" : "Massue",
 "OV" : "Greatclub",
 "Category": "C_MEL",
 "Damage" : "1d8",
 "DamageType" : " Contondant",
 "Weight" : 5000,
 "Price" : 20,
 "Properties" : "À deux mains"
  }</v>
      </c>
    </row>
    <row r="12" spans="1:13" ht="15" customHeight="1">
      <c r="A12" s="33" t="s">
        <v>153</v>
      </c>
      <c r="B12" s="34" t="s">
        <v>55</v>
      </c>
      <c r="C12" s="34" t="s">
        <v>56</v>
      </c>
      <c r="D12" s="156" t="str">
        <f t="shared" si="0"/>
        <v>1d4</v>
      </c>
      <c r="E12" s="156" t="str">
        <f t="shared" si="1"/>
        <v xml:space="preserve"> Tranchant</v>
      </c>
      <c r="F12" s="157" t="s">
        <v>33</v>
      </c>
      <c r="G12" s="14" t="s">
        <v>46</v>
      </c>
      <c r="H12" s="35" t="s">
        <v>35</v>
      </c>
      <c r="I12" s="73"/>
      <c r="J12" s="73" t="s">
        <v>2544</v>
      </c>
      <c r="K12" s="74">
        <f t="shared" si="2"/>
        <v>1000</v>
      </c>
      <c r="L12" s="74">
        <f t="shared" si="3"/>
        <v>100</v>
      </c>
      <c r="M12" t="str">
        <f t="shared" si="4"/>
        <v>"Serpe": {
 "Name" : "Serpe",
 "OV" : "Sickle",
 "Category": "C_MEL",
 "Damage" : "1d4",
 "DamageType" : " Tranchant",
 "Weight" : 1000,
 "Price" : 100,
 "Properties" : "Légère"
  }</v>
      </c>
    </row>
    <row r="13" spans="1:13" ht="15" customHeight="1">
      <c r="A13" s="426" t="s">
        <v>57</v>
      </c>
      <c r="B13" s="427"/>
      <c r="C13" s="427"/>
      <c r="D13" s="427"/>
      <c r="E13" s="427"/>
      <c r="F13" s="427"/>
      <c r="G13" s="427"/>
      <c r="H13" s="428"/>
      <c r="I13" s="71"/>
      <c r="J13" s="71"/>
      <c r="K13" s="74"/>
      <c r="L13" s="74"/>
    </row>
    <row r="14" spans="1:13" ht="15" customHeight="1">
      <c r="A14" s="33" t="s">
        <v>152</v>
      </c>
      <c r="B14" s="34" t="s">
        <v>58</v>
      </c>
      <c r="C14" s="34" t="s">
        <v>59</v>
      </c>
      <c r="D14" s="156" t="str">
        <f>LEFT(C14,FIND(" ",C14)-1)</f>
        <v>1d8</v>
      </c>
      <c r="E14" s="156" t="str">
        <f>PROPER(RIGHT(C14,LEN(C14)-LEN(D14)))</f>
        <v xml:space="preserve"> Perforant</v>
      </c>
      <c r="F14" s="14" t="s">
        <v>60</v>
      </c>
      <c r="G14" s="14" t="s">
        <v>61</v>
      </c>
      <c r="H14" s="35" t="s">
        <v>62</v>
      </c>
      <c r="I14" s="73"/>
      <c r="J14" s="73" t="s">
        <v>299</v>
      </c>
      <c r="K14" s="74">
        <f>IF(RIGHT(F14,2)="kg",LEFT(F14,LEN(F14)-3)*1000,LEFT(F14,LEN(F14)-2))</f>
        <v>2500</v>
      </c>
      <c r="L14" s="74">
        <f>LEFT(G14,LEN(G14)-3)*IF(RIGHT(G14,2)="po",100,IF(RIGHT(G14,2)="pa",10,1))</f>
        <v>2500</v>
      </c>
      <c r="M14" t="str">
        <f t="shared" si="4"/>
        <v>"Arbalète légère": {
 "Name" : "Arbalète légère",
 "OV" : "Crossbow, light",
 "Category": "C_DIS",
 "Damage" : "1d8",
 "DamageType" : " Perforant",
 "Weight" : 2500,
 "Price" : 2500,
 "Properties" : "Munitions (portée 24 m/96 m), chargement, à deux mains"
  }</v>
      </c>
    </row>
    <row r="15" spans="1:13" ht="15" customHeight="1">
      <c r="A15" s="30" t="s">
        <v>151</v>
      </c>
      <c r="B15" s="31" t="s">
        <v>63</v>
      </c>
      <c r="C15" s="31" t="s">
        <v>41</v>
      </c>
      <c r="D15" s="31" t="str">
        <f t="shared" ref="D15:D17" si="5">LEFT(C15,FIND(" ",C15)-1)</f>
        <v>1d6</v>
      </c>
      <c r="E15" s="31" t="str">
        <f t="shared" ref="E15:E17" si="6">PROPER(RIGHT(C15,LEN(C15)-LEN(D15)))</f>
        <v xml:space="preserve"> Perforant</v>
      </c>
      <c r="F15" s="13" t="s">
        <v>33</v>
      </c>
      <c r="G15" s="13" t="s">
        <v>61</v>
      </c>
      <c r="H15" s="32" t="s">
        <v>64</v>
      </c>
      <c r="I15" s="73"/>
      <c r="J15" s="73" t="s">
        <v>299</v>
      </c>
      <c r="K15" s="74">
        <f>IF(RIGHT(F15,2)="kg",LEFT(F15,LEN(F15)-3)*1000,LEFT(F15,LEN(F15)-2))</f>
        <v>1000</v>
      </c>
      <c r="L15" s="74">
        <f>LEFT(G15,LEN(G15)-3)*IF(RIGHT(G15,2)="po",100,IF(RIGHT(G15,2)="pa",10,1))</f>
        <v>2500</v>
      </c>
      <c r="M15" t="str">
        <f t="shared" si="4"/>
        <v>"Arc court": {
 "Name" : "Arc court",
 "OV" : "Shortbow",
 "Category": "C_DIS",
 "Damage" : "1d6",
 "DamageType" : " Perforant",
 "Weight" : 1000,
 "Price" : 2500,
 "Properties" : "Munitions (portée 24 m/96 m), à deux mains"
  }</v>
      </c>
    </row>
    <row r="16" spans="1:13" ht="15" customHeight="1">
      <c r="A16" s="33" t="s">
        <v>150</v>
      </c>
      <c r="B16" s="34" t="s">
        <v>65</v>
      </c>
      <c r="C16" s="34" t="s">
        <v>27</v>
      </c>
      <c r="D16" s="156" t="str">
        <f t="shared" si="5"/>
        <v>1d4</v>
      </c>
      <c r="E16" s="156" t="str">
        <f t="shared" si="6"/>
        <v xml:space="preserve"> Perforant</v>
      </c>
      <c r="F16" s="14" t="s">
        <v>66</v>
      </c>
      <c r="G16" s="14" t="s">
        <v>67</v>
      </c>
      <c r="H16" s="35" t="s">
        <v>68</v>
      </c>
      <c r="I16" s="73"/>
      <c r="J16" s="73" t="s">
        <v>299</v>
      </c>
      <c r="K16" s="74" t="str">
        <f>IF(RIGHT(F16,2)="kg",LEFT(F16,LEN(F16)-3)*1000,LEFT(F16,LEN(F16)-2))</f>
        <v>100</v>
      </c>
      <c r="L16" s="74">
        <f>LEFT(G16,LEN(G16)-3)*IF(RIGHT(G16,2)="po",100,IF(RIGHT(G16,2)="pa",10,1))</f>
        <v>5</v>
      </c>
      <c r="M16" t="str">
        <f t="shared" si="4"/>
        <v>"Fléchette": {
 "Name" : "Fléchette",
 "OV" : "Dart",
 "Category": "C_DIS",
 "Damage" : "1d4",
 "DamageType" : " Perforant",
 "Weight" : 100,
 "Price" : 5,
 "Properties" : "Finesse, lancer (portée 6 m/18 m)"
  }</v>
      </c>
    </row>
    <row r="17" spans="1:13" ht="15" customHeight="1">
      <c r="A17" s="30" t="s">
        <v>149</v>
      </c>
      <c r="B17" s="31" t="s">
        <v>69</v>
      </c>
      <c r="C17" s="31" t="s">
        <v>32</v>
      </c>
      <c r="D17" s="31" t="str">
        <f t="shared" si="5"/>
        <v>1d4</v>
      </c>
      <c r="E17" s="31" t="str">
        <f t="shared" si="6"/>
        <v xml:space="preserve"> Contondant</v>
      </c>
      <c r="F17" s="4" t="s">
        <v>298</v>
      </c>
      <c r="G17" s="13" t="s">
        <v>34</v>
      </c>
      <c r="H17" s="32" t="s">
        <v>70</v>
      </c>
      <c r="I17" s="73"/>
      <c r="J17" s="73" t="s">
        <v>299</v>
      </c>
      <c r="K17" s="74" t="str">
        <f>IF(RIGHT(F17,2)="kg",LEFT(F17,LEN(F17)-3)*1000,LEFT(F17,LEN(F17)-2))</f>
        <v>0</v>
      </c>
      <c r="L17" s="74">
        <f>LEFT(G17,LEN(G17)-3)*IF(RIGHT(G17,2)="po",100,IF(RIGHT(G17,2)="pa",10,1))</f>
        <v>10</v>
      </c>
      <c r="M17" t="str">
        <f t="shared" si="4"/>
        <v>"Fronde": {
 "Name" : "Fronde",
 "OV" : "Sling",
 "Category": "C_DIS",
 "Damage" : "1d4",
 "DamageType" : " Contondant",
 "Weight" : 0,
 "Price" : 10,
 "Properties" : "Munitions (portée 9 m/36 m)"
  }</v>
      </c>
    </row>
    <row r="18" spans="1:13" ht="15" customHeight="1">
      <c r="A18" s="426" t="s">
        <v>71</v>
      </c>
      <c r="B18" s="427"/>
      <c r="C18" s="427"/>
      <c r="D18" s="427"/>
      <c r="E18" s="427"/>
      <c r="F18" s="427"/>
      <c r="G18" s="427"/>
      <c r="H18" s="428"/>
      <c r="I18" s="71"/>
      <c r="J18" s="71"/>
      <c r="K18" s="74"/>
      <c r="L18" s="74"/>
    </row>
    <row r="19" spans="1:13" ht="15" customHeight="1">
      <c r="A19" s="30" t="s">
        <v>148</v>
      </c>
      <c r="B19" s="31" t="s">
        <v>72</v>
      </c>
      <c r="C19" s="31" t="s">
        <v>37</v>
      </c>
      <c r="D19" s="31" t="str">
        <f>LEFT(C19,FIND(" ",C19)-1)</f>
        <v>1d6</v>
      </c>
      <c r="E19" s="31" t="str">
        <f>PROPER(RIGHT(C19,LEN(C19)-LEN(D19)))</f>
        <v xml:space="preserve"> Tranchant</v>
      </c>
      <c r="F19" s="13" t="s">
        <v>45</v>
      </c>
      <c r="G19" s="13" t="s">
        <v>61</v>
      </c>
      <c r="H19" s="32" t="s">
        <v>73</v>
      </c>
      <c r="I19" s="73"/>
      <c r="J19" s="73" t="s">
        <v>2545</v>
      </c>
      <c r="K19" s="74">
        <f t="shared" ref="K19:K36" si="7">IF(RIGHT(F19,2)="kg",LEFT(F19,LEN(F19)-3)*1000,LEFT(F19,LEN(F19)-2))</f>
        <v>1500</v>
      </c>
      <c r="L19" s="74">
        <f t="shared" ref="L19:L36" si="8">LEFT(G19,LEN(G19)-3)*IF(RIGHT(G19,2)="po",100,IF(RIGHT(G19,2)="pa",10,1))</f>
        <v>2500</v>
      </c>
      <c r="M19" t="str">
        <f t="shared" si="4"/>
        <v>"Cimeterre": {
 "Name" : "Cimeterre",
 "OV" : "Scimitar",
 "Category": "W_MEL",
 "Damage" : "1d6",
 "DamageType" : " Tranchant",
 "Weight" : 1500,
 "Price" : 2500,
 "Properties" : "Finesse, légère"
  }</v>
      </c>
    </row>
    <row r="20" spans="1:13" ht="15" customHeight="1">
      <c r="A20" s="33" t="s">
        <v>147</v>
      </c>
      <c r="B20" s="34" t="s">
        <v>74</v>
      </c>
      <c r="C20" s="34" t="s">
        <v>75</v>
      </c>
      <c r="D20" s="156" t="str">
        <f t="shared" ref="D20:D36" si="9">LEFT(C20,FIND(" ",C20)-1)</f>
        <v>1d10</v>
      </c>
      <c r="E20" s="156" t="str">
        <f t="shared" ref="E20:E36" si="10">PROPER(RIGHT(C20,LEN(C20)-LEN(D20)))</f>
        <v xml:space="preserve"> Tranchant</v>
      </c>
      <c r="F20" s="14" t="s">
        <v>76</v>
      </c>
      <c r="G20" s="14" t="s">
        <v>77</v>
      </c>
      <c r="H20" s="35" t="s">
        <v>78</v>
      </c>
      <c r="I20" s="73"/>
      <c r="J20" s="73" t="s">
        <v>2545</v>
      </c>
      <c r="K20" s="74">
        <f t="shared" si="7"/>
        <v>3000</v>
      </c>
      <c r="L20" s="74">
        <f t="shared" si="8"/>
        <v>2000</v>
      </c>
      <c r="M20" t="str">
        <f t="shared" si="4"/>
        <v>"Coutille": {
 "Name" : "Coutille",
 "OV" : "Glaive",
 "Category": "W_MEL",
 "Damage" : "1d10",
 "DamageType" : " Tranchant",
 "Weight" : 3000,
 "Price" : 2000,
 "Properties" : "Lourde, allonge, à deux mains"
  }</v>
      </c>
    </row>
    <row r="21" spans="1:13" ht="15" customHeight="1">
      <c r="A21" s="30" t="s">
        <v>146</v>
      </c>
      <c r="B21" s="31" t="s">
        <v>79</v>
      </c>
      <c r="C21" s="31" t="s">
        <v>80</v>
      </c>
      <c r="D21" s="31" t="str">
        <f t="shared" si="9"/>
        <v>2d6</v>
      </c>
      <c r="E21" s="31" t="str">
        <f t="shared" si="10"/>
        <v xml:space="preserve"> Tranchant</v>
      </c>
      <c r="F21" s="13" t="s">
        <v>76</v>
      </c>
      <c r="G21" s="13" t="s">
        <v>81</v>
      </c>
      <c r="H21" s="32" t="s">
        <v>82</v>
      </c>
      <c r="I21" s="73"/>
      <c r="J21" s="73" t="s">
        <v>2545</v>
      </c>
      <c r="K21" s="74">
        <f t="shared" si="7"/>
        <v>3000</v>
      </c>
      <c r="L21" s="74">
        <f t="shared" si="8"/>
        <v>5000</v>
      </c>
      <c r="M21" t="str">
        <f t="shared" si="4"/>
        <v>"Épée à deux mains": {
 "Name" : "Épée à deux mains",
 "OV" : "Greatsword",
 "Category": "W_MEL",
 "Damage" : "2d6",
 "DamageType" : " Tranchant",
 "Weight" : 3000,
 "Price" : 5000,
 "Properties" : "Lourde, à deux mains"
  }</v>
      </c>
    </row>
    <row r="22" spans="1:13" ht="15" customHeight="1">
      <c r="A22" s="33" t="s">
        <v>145</v>
      </c>
      <c r="B22" s="34" t="s">
        <v>83</v>
      </c>
      <c r="C22" s="34" t="s">
        <v>41</v>
      </c>
      <c r="D22" s="156" t="str">
        <f t="shared" si="9"/>
        <v>1d6</v>
      </c>
      <c r="E22" s="156" t="str">
        <f t="shared" si="10"/>
        <v xml:space="preserve"> Perforant</v>
      </c>
      <c r="F22" s="14" t="s">
        <v>33</v>
      </c>
      <c r="G22" s="14" t="s">
        <v>84</v>
      </c>
      <c r="H22" s="35" t="s">
        <v>73</v>
      </c>
      <c r="I22" s="73"/>
      <c r="J22" s="73" t="s">
        <v>2545</v>
      </c>
      <c r="K22" s="74">
        <f t="shared" si="7"/>
        <v>1000</v>
      </c>
      <c r="L22" s="74">
        <f t="shared" si="8"/>
        <v>1000</v>
      </c>
      <c r="M22" t="str">
        <f t="shared" si="4"/>
        <v>"Épée courte": {
 "Name" : "Épée courte",
 "OV" : "Shortsword",
 "Category": "W_MEL",
 "Damage" : "1d6",
 "DamageType" : " Perforant",
 "Weight" : 1000,
 "Price" : 1000,
 "Properties" : "Finesse, légère"
  }</v>
      </c>
    </row>
    <row r="23" spans="1:13" ht="15" customHeight="1">
      <c r="A23" s="30" t="s">
        <v>144</v>
      </c>
      <c r="B23" s="31" t="s">
        <v>85</v>
      </c>
      <c r="C23" s="31" t="s">
        <v>86</v>
      </c>
      <c r="D23" s="31" t="str">
        <f t="shared" si="9"/>
        <v>1d8</v>
      </c>
      <c r="E23" s="31" t="str">
        <f t="shared" si="10"/>
        <v xml:space="preserve"> Tranchant</v>
      </c>
      <c r="F23" s="13" t="s">
        <v>45</v>
      </c>
      <c r="G23" s="13" t="s">
        <v>87</v>
      </c>
      <c r="H23" s="32" t="s">
        <v>88</v>
      </c>
      <c r="I23" s="73"/>
      <c r="J23" s="73" t="s">
        <v>2545</v>
      </c>
      <c r="K23" s="74">
        <f t="shared" si="7"/>
        <v>1500</v>
      </c>
      <c r="L23" s="74">
        <f t="shared" si="8"/>
        <v>1500</v>
      </c>
      <c r="M23" t="str">
        <f t="shared" si="4"/>
        <v>"Épée longue": {
 "Name" : "Épée longue",
 "OV" : "Longsword",
 "Category": "W_MEL",
 "Damage" : "1d8",
 "DamageType" : " Tranchant",
 "Weight" : 1500,
 "Price" : 1500,
 "Properties" : "Polyvalente (1d10)"
  }</v>
      </c>
    </row>
    <row r="24" spans="1:13" ht="15" customHeight="1">
      <c r="A24" s="33" t="s">
        <v>143</v>
      </c>
      <c r="B24" s="34" t="s">
        <v>89</v>
      </c>
      <c r="C24" s="34" t="s">
        <v>52</v>
      </c>
      <c r="D24" s="156" t="str">
        <f t="shared" si="9"/>
        <v>1d8</v>
      </c>
      <c r="E24" s="156" t="str">
        <f t="shared" si="10"/>
        <v xml:space="preserve"> Contondant</v>
      </c>
      <c r="F24" s="14" t="s">
        <v>33</v>
      </c>
      <c r="G24" s="14" t="s">
        <v>84</v>
      </c>
      <c r="H24" s="35" t="s">
        <v>50</v>
      </c>
      <c r="I24" s="73"/>
      <c r="J24" s="73" t="s">
        <v>2545</v>
      </c>
      <c r="K24" s="74">
        <f t="shared" si="7"/>
        <v>1000</v>
      </c>
      <c r="L24" s="74">
        <f t="shared" si="8"/>
        <v>1000</v>
      </c>
      <c r="M24" t="str">
        <f t="shared" si="4"/>
        <v>"Fléau d'armes": {
 "Name" : "Fléau d'armes",
 "OV" : "Flail",
 "Category": "W_MEL",
 "Damage" : "1d8",
 "DamageType" : " Contondant",
 "Weight" : 1000,
 "Price" : 1000,
 "Properties" : "-"
  }</v>
      </c>
    </row>
    <row r="25" spans="1:13" ht="15" customHeight="1">
      <c r="A25" s="30" t="s">
        <v>142</v>
      </c>
      <c r="B25" s="31" t="s">
        <v>90</v>
      </c>
      <c r="C25" s="31" t="s">
        <v>56</v>
      </c>
      <c r="D25" s="31" t="str">
        <f t="shared" si="9"/>
        <v>1d4</v>
      </c>
      <c r="E25" s="31" t="str">
        <f t="shared" si="10"/>
        <v xml:space="preserve"> Tranchant</v>
      </c>
      <c r="F25" s="13" t="s">
        <v>45</v>
      </c>
      <c r="G25" s="13" t="s">
        <v>29</v>
      </c>
      <c r="H25" s="32" t="s">
        <v>91</v>
      </c>
      <c r="I25" s="73"/>
      <c r="J25" s="73" t="s">
        <v>2545</v>
      </c>
      <c r="K25" s="74">
        <f t="shared" si="7"/>
        <v>1500</v>
      </c>
      <c r="L25" s="74">
        <f t="shared" si="8"/>
        <v>200</v>
      </c>
      <c r="M25" t="str">
        <f t="shared" si="4"/>
        <v>"Fouet": {
 "Name" : "Fouet",
 "OV" : "Whip",
 "Category": "W_MEL",
 "Damage" : "1d4",
 "DamageType" : " Tranchant",
 "Weight" : 1500,
 "Price" : 200,
 "Properties" : "Finesse, allonge"
  }</v>
      </c>
    </row>
    <row r="26" spans="1:13" ht="15" customHeight="1">
      <c r="A26" s="33" t="s">
        <v>141</v>
      </c>
      <c r="B26" s="34" t="s">
        <v>92</v>
      </c>
      <c r="C26" s="34" t="s">
        <v>93</v>
      </c>
      <c r="D26" s="156" t="str">
        <f t="shared" si="9"/>
        <v>1d12</v>
      </c>
      <c r="E26" s="156" t="str">
        <f t="shared" si="10"/>
        <v xml:space="preserve"> Tranchant</v>
      </c>
      <c r="F26" s="14" t="s">
        <v>94</v>
      </c>
      <c r="G26" s="14" t="s">
        <v>95</v>
      </c>
      <c r="H26" s="35" t="s">
        <v>82</v>
      </c>
      <c r="I26" s="73"/>
      <c r="J26" s="73" t="s">
        <v>2545</v>
      </c>
      <c r="K26" s="74">
        <f t="shared" si="7"/>
        <v>3500</v>
      </c>
      <c r="L26" s="74">
        <f t="shared" si="8"/>
        <v>3000</v>
      </c>
      <c r="M26" t="str">
        <f t="shared" si="4"/>
        <v>"Hache à deux mains": {
 "Name" : "Hache à deux mains",
 "OV" : "Greataxe",
 "Category": "W_MEL",
 "Damage" : "1d12",
 "DamageType" : " Tranchant",
 "Weight" : 3500,
 "Price" : 3000,
 "Properties" : "Lourde, à deux mains"
  }</v>
      </c>
    </row>
    <row r="27" spans="1:13" ht="15" customHeight="1">
      <c r="A27" s="30" t="s">
        <v>140</v>
      </c>
      <c r="B27" s="31" t="s">
        <v>96</v>
      </c>
      <c r="C27" s="31" t="s">
        <v>86</v>
      </c>
      <c r="D27" s="31" t="str">
        <f t="shared" si="9"/>
        <v>1d8</v>
      </c>
      <c r="E27" s="31" t="str">
        <f t="shared" si="10"/>
        <v xml:space="preserve"> Tranchant</v>
      </c>
      <c r="F27" s="13" t="s">
        <v>23</v>
      </c>
      <c r="G27" s="13" t="s">
        <v>84</v>
      </c>
      <c r="H27" s="32" t="s">
        <v>88</v>
      </c>
      <c r="I27" s="73"/>
      <c r="J27" s="73" t="s">
        <v>2545</v>
      </c>
      <c r="K27" s="74">
        <f t="shared" si="7"/>
        <v>2000</v>
      </c>
      <c r="L27" s="74">
        <f t="shared" si="8"/>
        <v>1000</v>
      </c>
      <c r="M27" t="str">
        <f t="shared" si="4"/>
        <v>"Hache d'armes": {
 "Name" : "Hache d'armes",
 "OV" : "Battleaxe",
 "Category": "W_MEL",
 "Damage" : "1d8",
 "DamageType" : " Tranchant",
 "Weight" : 2000,
 "Price" : 1000,
 "Properties" : "Polyvalente (1d10)"
  }</v>
      </c>
    </row>
    <row r="28" spans="1:13" ht="15" customHeight="1">
      <c r="A28" s="33" t="s">
        <v>139</v>
      </c>
      <c r="B28" s="34" t="s">
        <v>97</v>
      </c>
      <c r="C28" s="34" t="s">
        <v>75</v>
      </c>
      <c r="D28" s="156" t="str">
        <f t="shared" si="9"/>
        <v>1d10</v>
      </c>
      <c r="E28" s="156" t="str">
        <f t="shared" si="10"/>
        <v xml:space="preserve"> Tranchant</v>
      </c>
      <c r="F28" s="14" t="s">
        <v>76</v>
      </c>
      <c r="G28" s="14" t="s">
        <v>77</v>
      </c>
      <c r="H28" s="35" t="s">
        <v>78</v>
      </c>
      <c r="I28" s="73"/>
      <c r="J28" s="73" t="s">
        <v>2545</v>
      </c>
      <c r="K28" s="74">
        <f t="shared" si="7"/>
        <v>3000</v>
      </c>
      <c r="L28" s="74">
        <f t="shared" si="8"/>
        <v>2000</v>
      </c>
      <c r="M28" t="str">
        <f t="shared" si="4"/>
        <v>"Hallebarde": {
 "Name" : "Hallebarde",
 "OV" : "Halberd",
 "Category": "W_MEL",
 "Damage" : "1d10",
 "DamageType" : " Tranchant",
 "Weight" : 3000,
 "Price" : 2000,
 "Properties" : "Lourde, allonge, à deux mains"
  }</v>
      </c>
    </row>
    <row r="29" spans="1:13" ht="15" customHeight="1">
      <c r="A29" s="30" t="s">
        <v>138</v>
      </c>
      <c r="B29" s="31" t="s">
        <v>98</v>
      </c>
      <c r="C29" s="31" t="s">
        <v>99</v>
      </c>
      <c r="D29" s="31" t="str">
        <f t="shared" si="9"/>
        <v>1d12</v>
      </c>
      <c r="E29" s="31" t="str">
        <f t="shared" si="10"/>
        <v xml:space="preserve"> Perforant</v>
      </c>
      <c r="F29" s="13" t="s">
        <v>76</v>
      </c>
      <c r="G29" s="13" t="s">
        <v>84</v>
      </c>
      <c r="H29" s="32" t="s">
        <v>100</v>
      </c>
      <c r="I29" s="73"/>
      <c r="J29" s="73" t="s">
        <v>2545</v>
      </c>
      <c r="K29" s="74">
        <f t="shared" si="7"/>
        <v>3000</v>
      </c>
      <c r="L29" s="74">
        <f t="shared" si="8"/>
        <v>1000</v>
      </c>
      <c r="M29" t="str">
        <f t="shared" si="4"/>
        <v>"Lance d’arçon": {
 "Name" : "Lance d’arçon",
 "OV" : "Lance",
 "Category": "W_MEL",
 "Damage" : "1d12",
 "DamageType" : " Perforant",
 "Weight" : 3000,
 "Price" : 1000,
 "Properties" : "Allonge, spécial"
  }</v>
      </c>
    </row>
    <row r="30" spans="1:13" ht="15" customHeight="1">
      <c r="A30" s="33" t="s">
        <v>137</v>
      </c>
      <c r="B30" s="34" t="s">
        <v>101</v>
      </c>
      <c r="C30" s="34" t="s">
        <v>102</v>
      </c>
      <c r="D30" s="156" t="str">
        <f t="shared" si="9"/>
        <v>2d6</v>
      </c>
      <c r="E30" s="156" t="str">
        <f t="shared" si="10"/>
        <v xml:space="preserve"> Contondant</v>
      </c>
      <c r="F30" s="14" t="s">
        <v>53</v>
      </c>
      <c r="G30" s="14" t="s">
        <v>84</v>
      </c>
      <c r="H30" s="35" t="s">
        <v>82</v>
      </c>
      <c r="I30" s="73"/>
      <c r="J30" s="73" t="s">
        <v>2545</v>
      </c>
      <c r="K30" s="74">
        <f t="shared" si="7"/>
        <v>5000</v>
      </c>
      <c r="L30" s="74">
        <f t="shared" si="8"/>
        <v>1000</v>
      </c>
      <c r="M30" t="str">
        <f t="shared" si="4"/>
        <v>"Maillet": {
 "Name" : "Maillet",
 "OV" : "Maul",
 "Category": "W_MEL",
 "Damage" : "2d6",
 "DamageType" : " Contondant",
 "Weight" : 5000,
 "Price" : 1000,
 "Properties" : "Lourde, à deux mains"
  }</v>
      </c>
    </row>
    <row r="31" spans="1:13" ht="15" customHeight="1">
      <c r="A31" s="30" t="s">
        <v>136</v>
      </c>
      <c r="B31" s="31" t="s">
        <v>103</v>
      </c>
      <c r="C31" s="31" t="s">
        <v>52</v>
      </c>
      <c r="D31" s="31" t="str">
        <f t="shared" si="9"/>
        <v>1d8</v>
      </c>
      <c r="E31" s="31" t="str">
        <f t="shared" si="10"/>
        <v xml:space="preserve"> Contondant</v>
      </c>
      <c r="F31" s="13" t="s">
        <v>33</v>
      </c>
      <c r="G31" s="13" t="s">
        <v>87</v>
      </c>
      <c r="H31" s="32" t="s">
        <v>88</v>
      </c>
      <c r="I31" s="73"/>
      <c r="J31" s="73" t="s">
        <v>2545</v>
      </c>
      <c r="K31" s="74">
        <f t="shared" si="7"/>
        <v>1000</v>
      </c>
      <c r="L31" s="74">
        <f t="shared" si="8"/>
        <v>1500</v>
      </c>
      <c r="M31" t="str">
        <f t="shared" si="4"/>
        <v>"Marteau de guerre": {
 "Name" : "Marteau de guerre",
 "OV" : "Warhammer",
 "Category": "W_MEL",
 "Damage" : "1d8",
 "DamageType" : " Contondant",
 "Weight" : 1000,
 "Price" : 1500,
 "Properties" : "Polyvalente (1d10)"
  }</v>
      </c>
    </row>
    <row r="32" spans="1:13" ht="15" customHeight="1">
      <c r="A32" s="33" t="s">
        <v>135</v>
      </c>
      <c r="B32" s="34" t="s">
        <v>104</v>
      </c>
      <c r="C32" s="34" t="s">
        <v>59</v>
      </c>
      <c r="D32" s="156" t="str">
        <f t="shared" si="9"/>
        <v>1d8</v>
      </c>
      <c r="E32" s="156" t="str">
        <f t="shared" si="10"/>
        <v xml:space="preserve"> Perforant</v>
      </c>
      <c r="F32" s="14" t="s">
        <v>23</v>
      </c>
      <c r="G32" s="14" t="s">
        <v>87</v>
      </c>
      <c r="H32" s="35" t="s">
        <v>50</v>
      </c>
      <c r="I32" s="73"/>
      <c r="J32" s="73" t="s">
        <v>2545</v>
      </c>
      <c r="K32" s="74">
        <f t="shared" si="7"/>
        <v>2000</v>
      </c>
      <c r="L32" s="74">
        <f t="shared" si="8"/>
        <v>1500</v>
      </c>
      <c r="M32" t="str">
        <f t="shared" si="4"/>
        <v>"Morgenstern": {
 "Name" : "Morgenstern",
 "OV" : "Morningstar",
 "Category": "W_MEL",
 "Damage" : "1d8",
 "DamageType" : " Perforant",
 "Weight" : 2000,
 "Price" : 1500,
 "Properties" : "-"
  }</v>
      </c>
    </row>
    <row r="33" spans="1:13" ht="15" customHeight="1">
      <c r="A33" s="30" t="s">
        <v>134</v>
      </c>
      <c r="B33" s="31" t="s">
        <v>105</v>
      </c>
      <c r="C33" s="31" t="s">
        <v>59</v>
      </c>
      <c r="D33" s="31" t="str">
        <f t="shared" si="9"/>
        <v>1d8</v>
      </c>
      <c r="E33" s="31" t="str">
        <f t="shared" si="10"/>
        <v xml:space="preserve"> Perforant</v>
      </c>
      <c r="F33" s="13" t="s">
        <v>33</v>
      </c>
      <c r="G33" s="13" t="s">
        <v>38</v>
      </c>
      <c r="H33" s="32" t="s">
        <v>50</v>
      </c>
      <c r="I33" s="73"/>
      <c r="J33" s="73" t="s">
        <v>2545</v>
      </c>
      <c r="K33" s="74">
        <f t="shared" si="7"/>
        <v>1000</v>
      </c>
      <c r="L33" s="74">
        <f t="shared" si="8"/>
        <v>500</v>
      </c>
      <c r="M33" t="str">
        <f t="shared" si="4"/>
        <v>"Pic de guerre": {
 "Name" : "Pic de guerre",
 "OV" : "War pick",
 "Category": "W_MEL",
 "Damage" : "1d8",
 "DamageType" : " Perforant",
 "Weight" : 1000,
 "Price" : 500,
 "Properties" : "-"
  }</v>
      </c>
    </row>
    <row r="34" spans="1:13" ht="15" customHeight="1">
      <c r="A34" s="33" t="s">
        <v>133</v>
      </c>
      <c r="B34" s="34" t="s">
        <v>106</v>
      </c>
      <c r="C34" s="34" t="s">
        <v>107</v>
      </c>
      <c r="D34" s="156" t="str">
        <f t="shared" si="9"/>
        <v>1d10</v>
      </c>
      <c r="E34" s="156" t="str">
        <f t="shared" si="10"/>
        <v xml:space="preserve"> Perforant</v>
      </c>
      <c r="F34" s="14" t="s">
        <v>108</v>
      </c>
      <c r="G34" s="14" t="s">
        <v>38</v>
      </c>
      <c r="H34" s="35" t="s">
        <v>78</v>
      </c>
      <c r="I34" s="73"/>
      <c r="J34" s="73" t="s">
        <v>2545</v>
      </c>
      <c r="K34" s="74">
        <f t="shared" si="7"/>
        <v>9000</v>
      </c>
      <c r="L34" s="74">
        <f t="shared" si="8"/>
        <v>500</v>
      </c>
      <c r="M34" t="str">
        <f t="shared" si="4"/>
        <v>"Pique": {
 "Name" : "Pique",
 "OV" : "Pike",
 "Category": "W_MEL",
 "Damage" : "1d10",
 "DamageType" : " Perforant",
 "Weight" : 9000,
 "Price" : 500,
 "Properties" : "Lourde, allonge, à deux mains"
  }</v>
      </c>
    </row>
    <row r="35" spans="1:13" ht="15" customHeight="1">
      <c r="A35" s="30" t="s">
        <v>132</v>
      </c>
      <c r="B35" s="31" t="s">
        <v>109</v>
      </c>
      <c r="C35" s="31" t="s">
        <v>59</v>
      </c>
      <c r="D35" s="31" t="str">
        <f t="shared" si="9"/>
        <v>1d8</v>
      </c>
      <c r="E35" s="31" t="str">
        <f t="shared" si="10"/>
        <v xml:space="preserve"> Perforant</v>
      </c>
      <c r="F35" s="13" t="s">
        <v>33</v>
      </c>
      <c r="G35" s="13" t="s">
        <v>61</v>
      </c>
      <c r="H35" s="32" t="s">
        <v>110</v>
      </c>
      <c r="I35" s="73"/>
      <c r="J35" s="73" t="s">
        <v>2545</v>
      </c>
      <c r="K35" s="74">
        <f t="shared" si="7"/>
        <v>1000</v>
      </c>
      <c r="L35" s="74">
        <f t="shared" si="8"/>
        <v>2500</v>
      </c>
      <c r="M35" t="str">
        <f t="shared" si="4"/>
        <v>"Rapière": {
 "Name" : "Rapière",
 "OV" : "Rapier",
 "Category": "W_MEL",
 "Damage" : "1d8",
 "DamageType" : " Perforant",
 "Weight" : 1000,
 "Price" : 2500,
 "Properties" : "Finesse"
  }</v>
      </c>
    </row>
    <row r="36" spans="1:13" ht="15" customHeight="1">
      <c r="A36" s="33" t="s">
        <v>111</v>
      </c>
      <c r="B36" s="34" t="s">
        <v>111</v>
      </c>
      <c r="C36" s="34" t="s">
        <v>41</v>
      </c>
      <c r="D36" s="156" t="str">
        <f t="shared" si="9"/>
        <v>1d6</v>
      </c>
      <c r="E36" s="156" t="str">
        <f t="shared" si="10"/>
        <v xml:space="preserve"> Perforant</v>
      </c>
      <c r="F36" s="14" t="s">
        <v>23</v>
      </c>
      <c r="G36" s="14" t="s">
        <v>38</v>
      </c>
      <c r="H36" s="35" t="s">
        <v>47</v>
      </c>
      <c r="I36" s="73"/>
      <c r="J36" s="73" t="s">
        <v>2545</v>
      </c>
      <c r="K36" s="74">
        <f t="shared" si="7"/>
        <v>2000</v>
      </c>
      <c r="L36" s="74">
        <f t="shared" si="8"/>
        <v>500</v>
      </c>
      <c r="M36" t="str">
        <f t="shared" si="4"/>
        <v>"Trident": {
 "Name" : "Trident",
 "OV" : "Trident",
 "Category": "W_MEL",
 "Damage" : "1d6",
 "DamageType" : " Perforant",
 "Weight" : 2000,
 "Price" : 500,
 "Properties" : "Lancer (portée 6 m/18 m), polyvalente (1d8)"
  }</v>
      </c>
    </row>
    <row r="37" spans="1:13" ht="15" customHeight="1">
      <c r="A37" s="426" t="s">
        <v>112</v>
      </c>
      <c r="B37" s="427"/>
      <c r="C37" s="427"/>
      <c r="D37" s="427"/>
      <c r="E37" s="427"/>
      <c r="F37" s="427"/>
      <c r="G37" s="427"/>
      <c r="H37" s="428"/>
      <c r="I37" s="71"/>
      <c r="J37" s="71"/>
      <c r="K37" s="74"/>
      <c r="L37" s="74"/>
    </row>
    <row r="38" spans="1:13" ht="15" customHeight="1">
      <c r="A38" s="33" t="s">
        <v>131</v>
      </c>
      <c r="B38" s="34" t="s">
        <v>113</v>
      </c>
      <c r="C38" s="34" t="s">
        <v>41</v>
      </c>
      <c r="D38" s="156" t="str">
        <f>LEFT(C38,FIND(" ",C38)-1)</f>
        <v>1d6</v>
      </c>
      <c r="E38" s="156" t="str">
        <f>PROPER(RIGHT(C38,LEN(C38)-LEN(D38)))</f>
        <v xml:space="preserve"> Perforant</v>
      </c>
      <c r="F38" s="14" t="s">
        <v>45</v>
      </c>
      <c r="G38" s="14" t="s">
        <v>114</v>
      </c>
      <c r="H38" s="35" t="s">
        <v>115</v>
      </c>
      <c r="I38" s="73"/>
      <c r="J38" s="73" t="s">
        <v>2546</v>
      </c>
      <c r="K38" s="74">
        <f>IF(RIGHT(F38,2)="kg",LEFT(F38,LEN(F38)-3)*1000,LEFT(F38,LEN(F38)-2))</f>
        <v>1500</v>
      </c>
      <c r="L38" s="74">
        <f>LEFT(G38,LEN(G38)-3)*IF(RIGHT(G38,2)="po",100,IF(RIGHT(G38,2)="pa",10,1))</f>
        <v>7500</v>
      </c>
      <c r="M38" t="str">
        <f>""""&amp;A38&amp;""": {
 ""Name"" : """&amp;A38&amp;""",
 ""OV"" : """&amp;B38&amp;""",
 ""Category"": """&amp;J38&amp;""",
 ""Damage"" : """&amp;D38&amp;""",
 ""DamageType"" : """&amp;E38&amp;""",
 ""Weight"" : "&amp;K38&amp;",
 ""Price"" : "&amp;L38&amp;",
 ""Properties"" : """&amp;H38&amp;"""
  }"</f>
        <v>"Arbalète de poing": {
 "Name" : "Arbalète de poing",
 "OV" : "Crossbow, hand",
 "Category": "W_DIS",
 "Damage" : "1d6",
 "DamageType" : " Perforant",
 "Weight" : 1500,
 "Price" : 7500,
 "Properties" : "Munitions (portée 9 m/36 m), légère, chargement"
  }</v>
      </c>
    </row>
    <row r="39" spans="1:13" ht="15" customHeight="1">
      <c r="A39" s="30" t="s">
        <v>130</v>
      </c>
      <c r="B39" s="31" t="s">
        <v>116</v>
      </c>
      <c r="C39" s="31" t="s">
        <v>107</v>
      </c>
      <c r="D39" s="31" t="str">
        <f t="shared" ref="D39:D42" si="11">LEFT(C39,FIND(" ",C39)-1)</f>
        <v>1d10</v>
      </c>
      <c r="E39" s="31" t="str">
        <f t="shared" ref="E39:E42" si="12">PROPER(RIGHT(C39,LEN(C39)-LEN(D39)))</f>
        <v xml:space="preserve"> Perforant</v>
      </c>
      <c r="F39" s="13" t="s">
        <v>108</v>
      </c>
      <c r="G39" s="13" t="s">
        <v>81</v>
      </c>
      <c r="H39" s="32" t="s">
        <v>124</v>
      </c>
      <c r="I39" s="73"/>
      <c r="J39" s="73" t="s">
        <v>2546</v>
      </c>
      <c r="K39" s="74">
        <f>IF(RIGHT(F39,2)="kg",LEFT(F39,LEN(F39)-3)*1000,LEFT(F39,LEN(F39)-2))</f>
        <v>9000</v>
      </c>
      <c r="L39" s="74">
        <f>LEFT(G39,LEN(G39)-3)*IF(RIGHT(G39,2)="po",100,IF(RIGHT(G39,2)="pa",10,1))</f>
        <v>5000</v>
      </c>
      <c r="M39" t="str">
        <f t="shared" si="4"/>
        <v>"Arbalète lourde": {
 "Name" : "Arbalète lourde",
 "OV" : "Crossbow, heavy",
 "Category": "W_DIS",
 "Damage" : "1d10",
 "DamageType" : " Perforant",
 "Weight" : 9000,
 "Price" : 5000,
 "Properties" : "Munitions (portée 30 m/120 m), lourde, chargement, à deux mains"
  }</v>
      </c>
    </row>
    <row r="40" spans="1:13" ht="15" customHeight="1">
      <c r="A40" s="33" t="s">
        <v>129</v>
      </c>
      <c r="B40" s="34" t="s">
        <v>117</v>
      </c>
      <c r="C40" s="34" t="s">
        <v>59</v>
      </c>
      <c r="D40" s="156" t="str">
        <f t="shared" si="11"/>
        <v>1d8</v>
      </c>
      <c r="E40" s="156" t="str">
        <f>PROPER(RIGHT(C40,LEN(C40)-LEN(D40)))</f>
        <v xml:space="preserve"> Perforant</v>
      </c>
      <c r="F40" s="14" t="s">
        <v>33</v>
      </c>
      <c r="G40" s="14" t="s">
        <v>81</v>
      </c>
      <c r="H40" s="35" t="s">
        <v>118</v>
      </c>
      <c r="I40" s="73"/>
      <c r="J40" s="73" t="s">
        <v>2546</v>
      </c>
      <c r="K40" s="74">
        <f>IF(RIGHT(F40,2)="kg",LEFT(F40,LEN(F40)-3)*1000,LEFT(F40,LEN(F40)-2))</f>
        <v>1000</v>
      </c>
      <c r="L40" s="74">
        <f>LEFT(G40,LEN(G40)-3)*IF(RIGHT(G40,2)="po",100,IF(RIGHT(G40,2)="pa",10,1))</f>
        <v>5000</v>
      </c>
      <c r="M40" t="str">
        <f>""""&amp;A40&amp;""": {
 ""Name"" : """&amp;A40&amp;""",
 ""OV"" : """&amp;B40&amp;""",
 ""Category"": """&amp;J40&amp;""",
 ""Damage"" : """&amp;D40&amp;""",
 ""DamageType"" : """&amp;E40&amp;""",
 ""Weight"" : "&amp;K40&amp;",
 ""Price"" : "&amp;L40&amp;",
 ""Properties"" : """&amp;H40&amp;"""
  }"</f>
        <v>"Arc long": {
 "Name" : "Arc long",
 "OV" : "Longbow",
 "Category": "W_DIS",
 "Damage" : "1d8",
 "DamageType" : " Perforant",
 "Weight" : 1000,
 "Price" : 5000,
 "Properties" : "Munitions (portée 45 m/180 m), lourde, à deux mains"
  }</v>
      </c>
    </row>
    <row r="41" spans="1:13" ht="15" customHeight="1">
      <c r="A41" s="30" t="s">
        <v>128</v>
      </c>
      <c r="B41" s="31" t="s">
        <v>119</v>
      </c>
      <c r="C41" s="31"/>
      <c r="D41" s="31"/>
      <c r="E41" s="31"/>
      <c r="F41" s="13" t="s">
        <v>45</v>
      </c>
      <c r="G41" s="13" t="s">
        <v>46</v>
      </c>
      <c r="H41" s="32" t="s">
        <v>120</v>
      </c>
      <c r="I41" s="73"/>
      <c r="J41" s="73" t="s">
        <v>2546</v>
      </c>
      <c r="K41" s="74">
        <f>IF(RIGHT(F41,2)="kg",LEFT(F41,LEN(F41)-3)*1000,LEFT(F41,LEN(F41)-2))</f>
        <v>1500</v>
      </c>
      <c r="L41" s="74">
        <f>LEFT(G41,LEN(G41)-3)*IF(RIGHT(G41,2)="po",100,IF(RIGHT(G41,2)="pa",10,1))</f>
        <v>100</v>
      </c>
      <c r="M41" t="str">
        <f t="shared" si="4"/>
        <v>"Filet": {
 "Name" : "Filet",
 "OV" : "Net",
 "Category": "W_DIS",
 "Damage" : "",
 "DamageType" : "",
 "Weight" : 1500,
 "Price" : 100,
 "Properties" : "Spécial, lancer (portée 1,50 m/ 4,50 m)"
  }</v>
      </c>
    </row>
    <row r="42" spans="1:13" ht="15" customHeight="1">
      <c r="A42" s="36" t="s">
        <v>127</v>
      </c>
      <c r="B42" s="37" t="s">
        <v>121</v>
      </c>
      <c r="C42" s="37" t="s">
        <v>122</v>
      </c>
      <c r="D42" s="155" t="str">
        <f t="shared" si="11"/>
        <v>1</v>
      </c>
      <c r="E42" s="155" t="str">
        <f t="shared" si="12"/>
        <v xml:space="preserve"> Perforant</v>
      </c>
      <c r="F42" s="38" t="s">
        <v>28</v>
      </c>
      <c r="G42" s="38" t="s">
        <v>84</v>
      </c>
      <c r="H42" s="39" t="s">
        <v>123</v>
      </c>
      <c r="I42" s="73"/>
      <c r="J42" s="73" t="s">
        <v>2546</v>
      </c>
      <c r="K42" s="74" t="str">
        <f>IF(RIGHT(F42,2)="kg",LEFT(F42,LEN(F42)-3)*1000,LEFT(F42,LEN(F42)-2))</f>
        <v>500</v>
      </c>
      <c r="L42" s="74">
        <f>LEFT(G42,LEN(G42)-3)*IF(RIGHT(G42,2)="po",100,IF(RIGHT(G42,2)="pa",10,1))</f>
        <v>1000</v>
      </c>
      <c r="M42" t="str">
        <f t="shared" si="4"/>
        <v>"Sarbacane": {
 "Name" : "Sarbacane",
 "OV" : "Blowgun",
 "Category": "W_DIS",
 "Damage" : "1",
 "DamageType" :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"DamageType" : " Contondant",
 "Weight" : 2000,
 "Price" : 20,
 "Properties" : "Polyvalente (1d8)"
  },
"Dague": {
 "Name" : "Dague",
 "OV" : "Dagger",
 "Category": "C_MEL",
 "Damage" : "1d4",
 "DamageType" : " Perforant",
 "Weight" : 500,
 "Price" : 200,
 "Properties" : "Finesse, légère, lancer (portée 6 m/18 m)"
  },
"Gourdin": {
 "Name" : "Gourdin",
 "OV" : "Club",
 "Category": "C_MEL",
 "Damage" : "1d4",
 "DamageType" : " Contondant",
 "Weight" : 1000,
 "Price" : 10,
 "Properties" : "Légère"
  },
"Hachette": {
 "Name" : "Hachette",
 "OV" : "Handaxe",
 "Category": "C_MEL",
 "Damage" : "1d6",
 "DamageType" : " Tranchant",
 "Weight" : 1000,
 "Price" : 500,
 "Properties" : "Légère, lancer (portée 6 m/18 m)"
  },
"Javeline": {
 "Name" : "Javeline",
 "OV" : "Javelin",
 "Category": "C_MEL",
 "Damage" : "1d6",
 "DamageType" : " Perforant",
 "Weight" : 1000,
 "Price" : 50,
 "Properties" : "Lancer (portée 9 m/36 m)"
  },
"Lance": {
 "Name" : "Lance",
 "OV" : "Spear",
 "Category": "C_MEL",
 "Damage" : "1d6",
 "DamageType" : " Perforant",
 "Weight" : 1500,
 "Price" : 100,
 "Properties" : "Lancer (portée 6 m/18 m), polyvalente (1d8)"
  },
"Marteau léger": {
 "Name" : "Marteau léger",
 "OV" : "Light hammer",
 "Category": "C_MEL",
 "Damage" : "1d4",
 "DamageType" : " Contondant",
 "Weight" : 1000,
 "Price" : 200,
 "Properties" : "Légère, lancer (portée 6 m/18 m)"
  },
"Masse d'armes": {
 "Name" : "Masse d'armes",
 "OV" : "Mace",
 "Category": "C_MEL",
 "Damage" : "1d6",
 "DamageType" : " Contondant",
 "Weight" : 2000,
 "Price" : 500,
 "Properties" : "-"
  },
"Massue": {
 "Name" : "Massue",
 "OV" : "Greatclub",
 "Category": "C_MEL",
 "Damage" : "1d8",
 "DamageType" : " Contondant",
 "Weight" : 5000,
 "Price" : 20,
 "Properties" : "À deux mains"
  },
"Serpe": {
 "Name" : "Serpe",
 "OV" : "Sickle",
 "Category": "C_MEL",
 "Damage" : "1d4",
 "DamageType" : " Tranchant",
 "Weight" : 1000,
 "Price" : 100,
 "Properties" : "Légère"
  },
"Arbalète légère": {
 "Name" : "Arbalète légère",
 "OV" : "Crossbow, light",
 "Category": "C_DIS",
 "Damage" : "1d8",
 "DamageType" : " Perforant",
 "Weight" : 2500,
 "Price" : 2500,
 "Properties" : "Munitions (portée 24 m/96 m), chargement, à deux mains"
  },
"Arc court": {
 "Name" : "Arc court",
 "OV" : "Shortbow",
 "Category": "C_DIS",
 "Damage" : "1d6",
 "DamageType" : " Perforant",
 "Weight" : 1000,
 "Price" : 2500,
 "Properties" : "Munitions (portée 24 m/96 m), à deux mains"
  },
"Fléchette": {
 "Name" : "Fléchette",
 "OV" : "Dart",
 "Category": "C_DIS",
 "Damage" : "1d4",
 "DamageType" : " Perforant",
 "Weight" : 100,
 "Price" : 5,
 "Properties" : "Finesse, lancer (portée 6 m/18 m)"
  },
"Fronde": {
 "Name" : "Fronde",
 "OV" : "Sling",
 "Category": "C_DIS",
 "Damage" : "1d4",
 "DamageType" : " Contondant",
 "Weight" : 0,
 "Price" : 10,
 "Properties" : "Munitions (portée 9 m/36 m)"
  },
"Cimeterre": {
 "Name" : "Cimeterre",
 "OV" : "Scimitar",
 "Category": "W_MEL",
 "Damage" : "1d6",
 "DamageType" : " Tranchant",
 "Weight" : 1500,
 "Price" : 2500,
 "Properties" : "Finesse, légère"
  },
"Coutille": {
 "Name" : "Coutille",
 "OV" : "Glaive",
 "Category": "W_MEL",
 "Damage" : "1d10",
 "DamageType" : " Tranchant",
 "Weight" : 3000,
 "Price" : 2000,
 "Properties" : "Lourde, allonge, à deux mains"
  },
"Épée à deux mains": {
 "Name" : "Épée à deux mains",
 "OV" : "Greatsword",
 "Category": "W_MEL",
 "Damage" : "2d6",
 "DamageType" : " Tranchant",
 "Weight" : 3000,
 "Price" : 5000,
 "Properties" : "Lourde, à deux mains"
  },
"Épée courte": {
 "Name" : "Épée courte",
 "OV" : "Shortsword",
 "Category": "W_MEL",
 "Damage" : "1d6",
 "DamageType" : " Perforant",
 "Weight" : 1000,
 "Price" : 1000,
 "Properties" : "Finesse, légère"
  },
"Épée longue": {
 "Name" : "Épée longue",
 "OV" : "Longsword",
 "Category": "W_MEL",
 "Damage" : "1d8",
 "DamageType" : " Tranchant",
 "Weight" : 1500,
 "Price" : 1500,
 "Properties" : "Polyvalente (1d10)"
  },
"Fléau d'armes": {
 "Name" : "Fléau d'armes",
 "OV" : "Flail",
 "Category": "W_MEL",
 "Damage" : "1d8",
 "DamageType" : " Contondant",
 "Weight" : 1000,
 "Price" : 1000,
 "Properties" : "-"
  },
"Fouet": {
 "Name" : "Fouet",
 "OV" : "Whip",
 "Category": "W_MEL",
 "Damage" : "1d4",
 "DamageType" : " Tranchant",
 "Weight" : 1500,
 "Price" : 200,
 "Properties" : "Finesse, allonge"
  },
"Hache à deux mains": {
 "Name" : "Hache à deux mains",
 "OV" : "Greataxe",
 "Category": "W_MEL",
 "Damage" : "1d12",
 "DamageType" : " Tranchant",
 "Weight" : 3500,
 "Price" : 3000,
 "Properties" : "Lourde, à deux mains"
  },
"Hache d'armes": {
 "Name" : "Hache d'armes",
 "OV" : "Battleaxe",
 "Category": "W_MEL",
 "Damage" : "1d8",
 "DamageType" : " Tranchant",
 "Weight" : 2000,
 "Price" : 1000,
 "Properties" : "Polyvalente (1d10)"
  },
"Hallebarde": {
 "Name" : "Hallebarde",
 "OV" : "Halberd",
 "Category": "W_MEL",
 "Damage" : "1d10",
 "DamageType" : " Tranchant",
 "Weight" : 3000,
 "Price" : 2000,
 "Properties" : "Lourde, allonge, à deux mains"
  },
"Lance d’arçon": {
 "Name" : "Lance d’arçon",
 "OV" : "Lance",
 "Category": "W_MEL",
 "Damage" : "1d12",
 "DamageType" : " Perforant",
 "Weight" : 3000,
 "Price" : 1000,
 "Properties" : "Allonge, spécial"
  },
"Maillet": {
 "Name" : "Maillet",
 "OV" : "Maul",
 "Category": "W_MEL",
 "Damage" : "2d6",
 "DamageType" : " Contondant",
 "Weight" : 5000,
 "Price" : 1000,
 "Properties" : "Lourde, à deux mains"
  },
"Marteau de guerre": {
 "Name" : "Marteau de guerre",
 "OV" : "Warhammer",
 "Category": "W_MEL",
 "Damage" : "1d8",
 "DamageType" : " Contondant",
 "Weight" : 1000,
 "Price" : 1500,
 "Properties" : "Polyvalente (1d10)"
  },
"Morgenstern": {
 "Name" : "Morgenstern",
 "OV" : "Morningstar",
 "Category": "W_MEL",
 "Damage" : "1d8",
 "DamageType" : " Perforant",
 "Weight" : 2000,
 "Price" : 1500,
 "Properties" : "-"
  },
"Pic de guerre": {
 "Name" : "Pic de guerre",
 "OV" : "War pick",
 "Category": "W_MEL",
 "Damage" : "1d8",
 "DamageType" : " Perforant",
 "Weight" : 1000,
 "Price" : 500,
 "Properties" : "-"
  },
"Pique": {
 "Name" : "Pique",
 "OV" : "Pike",
 "Category": "W_MEL",
 "Damage" : "1d10",
 "DamageType" : " Perforant",
 "Weight" : 9000,
 "Price" : 500,
 "Properties" : "Lourde, allonge, à deux mains"
  },
"Rapière": {
 "Name" : "Rapière",
 "OV" : "Rapier",
 "Category": "W_MEL",
 "Damage" : "1d8",
 "DamageType" : " Perforant",
 "Weight" : 1000,
 "Price" : 2500,
 "Properties" : "Finesse"
  },
"Trident": {
 "Name" : "Trident",
 "OV" : "Trident",
 "Category": "W_MEL",
 "Damage" : "1d6",
 "DamageType" : " Perforant",
 "Weight" : 2000,
 "Price" : 500,
 "Properties" : "Lancer (portée 6 m/18 m), polyvalente (1d8)"
  },
"Arbalète de poing": {
 "Name" : "Arbalète de poing",
 "OV" : "Crossbow, hand",
 "Category": "W_DIS",
 "Damage" : "1d6",
 "DamageType" : " Perforant",
 "Weight" : 1500,
 "Price" : 7500,
 "Properties" : "Munitions (portée 9 m/36 m), légère, chargement"
  },
"Arbalète lourde": {
 "Name" : "Arbalète lourde",
 "OV" : "Crossbow, heavy",
 "Category": "W_DIS",
 "Damage" : "1d10",
 "DamageType" : " Perforant",
 "Weight" : 9000,
 "Price" : 5000,
 "Properties" : "Munitions (portée 30 m/120 m), lourde, chargement, à deux mains"
  },
"Arc long": {
 "Name" : "Arc long",
 "OV" : "Longbow",
 "Category": "W_DIS",
 "Damage" : "1d8",
 "DamageType" :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"DamageType" :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0"/>
  <sheetViews>
    <sheetView topLeftCell="B1" workbookViewId="0">
      <selection activeCell="K16" sqref="K16"/>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83" t="s">
        <v>341</v>
      </c>
      <c r="B1" s="83" t="s">
        <v>15</v>
      </c>
      <c r="C1" s="83" t="s">
        <v>342</v>
      </c>
      <c r="D1" s="83" t="s">
        <v>1036</v>
      </c>
      <c r="E1" s="83" t="s">
        <v>1037</v>
      </c>
      <c r="F1" s="83" t="s">
        <v>11</v>
      </c>
      <c r="G1" s="83" t="s">
        <v>343</v>
      </c>
      <c r="H1" s="83" t="s">
        <v>17</v>
      </c>
      <c r="I1" s="83" t="s">
        <v>18</v>
      </c>
    </row>
    <row r="2" spans="1:14" s="88" customFormat="1" ht="15" customHeight="1">
      <c r="A2" s="429" t="s">
        <v>344</v>
      </c>
      <c r="B2" s="429"/>
      <c r="C2" s="429"/>
      <c r="D2" s="429"/>
      <c r="E2" s="429"/>
      <c r="F2" s="429"/>
      <c r="G2" s="429"/>
      <c r="H2" s="429"/>
      <c r="I2" s="429"/>
    </row>
    <row r="3" spans="1:14" ht="15" customHeight="1">
      <c r="A3" s="78" t="s">
        <v>345</v>
      </c>
      <c r="B3" s="78" t="s">
        <v>346</v>
      </c>
      <c r="C3" s="78">
        <v>11</v>
      </c>
      <c r="D3" s="78" t="s">
        <v>1067</v>
      </c>
      <c r="E3" s="79" t="s">
        <v>2823</v>
      </c>
      <c r="F3" s="78">
        <v>0</v>
      </c>
      <c r="G3" s="78" t="s">
        <v>347</v>
      </c>
      <c r="H3" s="79" t="s">
        <v>348</v>
      </c>
      <c r="I3" s="79" t="s">
        <v>38</v>
      </c>
      <c r="J3" s="84"/>
      <c r="K3" s="73" t="s">
        <v>2556</v>
      </c>
      <c r="L3" s="74">
        <f>IF(RIGHT(H3,2)="kg",LEFT(H3,LEN(H3)-3)*1000,LEFT(H3,LEN(H3)-2))</f>
        <v>4000</v>
      </c>
      <c r="M3" s="74">
        <f>LEFT(I3,LEN(I3)-3)*IF(RIGHT(I3,2)="po",100,IF(RIGHT(I3,2)="pa",10,1))</f>
        <v>500</v>
      </c>
      <c r="N3" t="str">
        <f>""""&amp;RIGHT(A3,LEN(A3)-2)&amp;""": {
 ""Name"" : """&amp;RIGHT(A3,LEN(A3)-2)&amp;""",
 ""OV"" : """&amp;B3&amp;""",
 ""Category"": """&amp;K3&amp;""",
 ""AC"" : "&amp;C3&amp;",
 ""ACBonus"" : """&amp;D3&amp;""",
 ""MaxACBonus"" : "&amp;E3&amp;",
 ""Weight"" : "&amp;L3&amp;",
 ""Price"" : "&amp;M3&amp;",
 ""Discretion"" : """&amp;G3&amp;""",
 ""Strength"" : "&amp;F3&amp;"
  }"</f>
        <v>"Matelassée": {
 "Name" : "Matelassée",
 "OV" : "Padded",
 "Category": "1_LIGHT",
 "AC" : 11,
 "ACBonus" : "DEX",
 "MaxACBonus" : null,
 "Weight" : 4000,
 "Price" : 500,
 "Discretion" : "Désavantage",
 "Strength" : 0
  }</v>
      </c>
    </row>
    <row r="4" spans="1:14" ht="15" customHeight="1">
      <c r="A4" s="80" t="s">
        <v>349</v>
      </c>
      <c r="B4" s="80" t="s">
        <v>350</v>
      </c>
      <c r="C4" s="80">
        <v>11</v>
      </c>
      <c r="D4" s="80" t="s">
        <v>1067</v>
      </c>
      <c r="E4" s="81" t="s">
        <v>2823</v>
      </c>
      <c r="F4" s="80">
        <v>0</v>
      </c>
      <c r="G4" s="80" t="s">
        <v>50</v>
      </c>
      <c r="H4" s="81" t="s">
        <v>53</v>
      </c>
      <c r="I4" s="81" t="s">
        <v>84</v>
      </c>
      <c r="J4" s="84"/>
      <c r="K4" s="73" t="s">
        <v>2556</v>
      </c>
      <c r="L4" s="74">
        <f t="shared" ref="L4:L18" si="0">IF(RIGHT(H4,2)="kg",LEFT(H4,LEN(H4)-3)*1000,LEFT(H4,LEN(H4)-2))</f>
        <v>5000</v>
      </c>
      <c r="M4" s="74">
        <f t="shared" ref="M4:M18" si="1">LEFT(I4,LEN(I4)-3)*IF(RIGHT(I4,2)="po",100,IF(RIGHT(I4,2)="pa",10,1))</f>
        <v>1000</v>
      </c>
      <c r="N4" t="str">
        <f>""""&amp;RIGHT(A4,LEN(A4)-2)&amp;""": {
 ""Name"" : """&amp;RIGHT(A4,LEN(A4)-2)&amp;""",
 ""OV"" : """&amp;B4&amp;""",
 ""Category"": """&amp;K4&amp;""",
 ""AC"" : "&amp;C4&amp;",
 ""ACBonus"" : """&amp;D4&amp;""",
 ""MaxACBonus"" : "&amp;E4&amp;",
 ""Weight"" : "&amp;L4&amp;",
 ""Price"" : "&amp;M4&amp;",
 ""Discretion"" : """&amp;G4&amp;""",
 ""Strength"" : "&amp;F4&amp;"
  }"</f>
        <v>"Cuir": {
 "Name" : "Cuir",
 "OV" : "Leather",
 "Category": "1_LIGHT",
 "AC" : 11,
 "ACBonus" : "DEX",
 "MaxACBonus" : null,
 "Weight" : 5000,
 "Price" : 1000,
 "Discretion" : "-",
 "Strength" : 0
  }</v>
      </c>
    </row>
    <row r="5" spans="1:14" ht="15" customHeight="1">
      <c r="A5" s="78" t="s">
        <v>351</v>
      </c>
      <c r="B5" s="78" t="s">
        <v>352</v>
      </c>
      <c r="C5" s="78">
        <v>12</v>
      </c>
      <c r="D5" s="78" t="s">
        <v>1067</v>
      </c>
      <c r="E5" s="79" t="s">
        <v>2823</v>
      </c>
      <c r="F5" s="78">
        <v>0</v>
      </c>
      <c r="G5" s="78" t="s">
        <v>50</v>
      </c>
      <c r="H5" s="79" t="s">
        <v>353</v>
      </c>
      <c r="I5" s="79" t="s">
        <v>354</v>
      </c>
      <c r="J5" s="84"/>
      <c r="K5" s="73" t="s">
        <v>2556</v>
      </c>
      <c r="L5" s="74">
        <f t="shared" si="0"/>
        <v>6500</v>
      </c>
      <c r="M5" s="74">
        <f t="shared" si="1"/>
        <v>4500</v>
      </c>
      <c r="N5" t="str">
        <f>""""&amp;RIGHT(A5,LEN(A5)-2)&amp;""": {
 ""Name"" : """&amp;RIGHT(A5,LEN(A5)-2)&amp;""",
 ""OV"" : """&amp;B5&amp;""",
 ""Category"": """&amp;K5&amp;""",
 ""AC"" : "&amp;C5&amp;",
 ""ACBonus"" : """&amp;D5&amp;""",
 ""MaxACBonus"" : "&amp;E5&amp;",
 ""Weight"" : "&amp;L5&amp;",
 ""Price"" : "&amp;M5&amp;",
 ""Discretion"" : """&amp;G5&amp;""",
 ""Strength"" : "&amp;F5&amp;"
  }"</f>
        <v>"Cuir clouté": {
 "Name" : "Cuir clouté",
 "OV" : "Studded leather",
 "Category": "1_LIGHT",
 "AC" : 12,
 "ACBonus" : "DEX",
 "MaxACBonus" : null,
 "Weight" : 6500,
 "Price" : 4500,
 "Discretion" : "-",
 "Strength" : 0
  }</v>
      </c>
    </row>
    <row r="6" spans="1:14" s="88" customFormat="1" ht="15" customHeight="1">
      <c r="A6" s="429" t="s">
        <v>355</v>
      </c>
      <c r="B6" s="429"/>
      <c r="C6" s="429"/>
      <c r="D6" s="429"/>
      <c r="E6" s="429"/>
      <c r="F6" s="429"/>
      <c r="G6" s="429"/>
      <c r="H6" s="429"/>
      <c r="I6" s="429"/>
      <c r="J6" s="85"/>
      <c r="L6" s="87"/>
      <c r="M6" s="87"/>
      <c r="N6"/>
    </row>
    <row r="7" spans="1:14" ht="15" customHeight="1">
      <c r="A7" s="78" t="s">
        <v>356</v>
      </c>
      <c r="B7" s="78" t="s">
        <v>357</v>
      </c>
      <c r="C7" s="78">
        <v>12</v>
      </c>
      <c r="D7" s="78" t="s">
        <v>1067</v>
      </c>
      <c r="E7" s="78">
        <v>2</v>
      </c>
      <c r="F7" s="78">
        <v>0</v>
      </c>
      <c r="G7" s="78" t="s">
        <v>50</v>
      </c>
      <c r="H7" s="79" t="s">
        <v>358</v>
      </c>
      <c r="I7" s="79" t="s">
        <v>84</v>
      </c>
      <c r="J7" s="84"/>
      <c r="K7" s="73" t="s">
        <v>2557</v>
      </c>
      <c r="L7" s="74">
        <f t="shared" si="0"/>
        <v>6000</v>
      </c>
      <c r="M7" s="74">
        <f t="shared" si="1"/>
        <v>1000</v>
      </c>
      <c r="N7" t="str">
        <f>""""&amp;RIGHT(A7,LEN(A7)-2)&amp;""": {
 ""Name"" : """&amp;RIGHT(A7,LEN(A7)-2)&amp;""",
 ""OV"" : """&amp;B7&amp;""",
 ""Category"": """&amp;K7&amp;""",
 ""AC"" : "&amp;C7&amp;",
 ""ACBonus"" : """&amp;D7&amp;""",
 ""MaxACBonus"" : "&amp;E7&amp;",
 ""Weight"" : "&amp;L7&amp;",
 ""Price"" : "&amp;M7&amp;",
 ""Discretion"" : """&amp;G7&amp;""",
 ""Strength"" : "&amp;F7&amp;"
  }"</f>
        <v>"Peau": {
 "Name" : "Peau",
 "OV" : "Hide",
 "Category": "2_MID",
 "AC" : 12,
 "ACBonus" : "DEX",
 "MaxACBonus" : 2,
 "Weight" : 6000,
 "Price" : 1000,
 "Discretion" : "-",
 "Strength" : 0
  }</v>
      </c>
    </row>
    <row r="8" spans="1:14" ht="15" customHeight="1">
      <c r="A8" s="80" t="s">
        <v>359</v>
      </c>
      <c r="B8" s="80" t="s">
        <v>360</v>
      </c>
      <c r="C8" s="80">
        <v>13</v>
      </c>
      <c r="D8" s="80" t="s">
        <v>1067</v>
      </c>
      <c r="E8" s="80">
        <v>2</v>
      </c>
      <c r="F8" s="80">
        <v>0</v>
      </c>
      <c r="G8" s="80" t="s">
        <v>50</v>
      </c>
      <c r="H8" s="81" t="s">
        <v>361</v>
      </c>
      <c r="I8" s="81" t="s">
        <v>81</v>
      </c>
      <c r="J8" s="84"/>
      <c r="K8" s="73" t="s">
        <v>2557</v>
      </c>
      <c r="L8" s="74">
        <f t="shared" si="0"/>
        <v>10000</v>
      </c>
      <c r="M8" s="74">
        <f t="shared" si="1"/>
        <v>5000</v>
      </c>
      <c r="N8" t="str">
        <f>""""&amp;RIGHT(A8,LEN(A8)-2)&amp;""": {
 ""Name"" : """&amp;RIGHT(A8,LEN(A8)-2)&amp;""",
 ""OV"" : """&amp;B8&amp;""",
 ""Category"": """&amp;K8&amp;""",
 ""AC"" : "&amp;C8&amp;",
 ""ACBonus"" : """&amp;D8&amp;""",
 ""MaxACBonus"" : "&amp;E8&amp;",
 ""Weight"" : "&amp;L8&amp;",
 ""Price"" : "&amp;M8&amp;",
 ""Discretion"" : """&amp;G8&amp;""",
 ""Strength"" : "&amp;F8&amp;"
  }"</f>
        <v>"Chemise de mailles": {
 "Name" : "Chemise de mailles",
 "OV" : "Chain shirt",
 "Category": "2_MID",
 "AC" : 13,
 "ACBonus" : "DEX",
 "MaxACBonus" : 2,
 "Weight" : 10000,
 "Price" : 5000,
 "Discretion" : "-",
 "Strength" : 0
  }</v>
      </c>
    </row>
    <row r="9" spans="1:14" ht="15" customHeight="1">
      <c r="A9" s="78" t="s">
        <v>362</v>
      </c>
      <c r="B9" s="78" t="s">
        <v>363</v>
      </c>
      <c r="C9" s="78">
        <v>14</v>
      </c>
      <c r="D9" s="78" t="s">
        <v>1067</v>
      </c>
      <c r="E9" s="78">
        <v>2</v>
      </c>
      <c r="F9" s="78">
        <v>0</v>
      </c>
      <c r="G9" s="78" t="s">
        <v>347</v>
      </c>
      <c r="H9" s="79" t="s">
        <v>364</v>
      </c>
      <c r="I9" s="79" t="s">
        <v>81</v>
      </c>
      <c r="J9" s="84"/>
      <c r="K9" s="73" t="s">
        <v>2557</v>
      </c>
      <c r="L9" s="74">
        <f t="shared" si="0"/>
        <v>22500</v>
      </c>
      <c r="M9" s="74">
        <f t="shared" si="1"/>
        <v>5000</v>
      </c>
      <c r="N9" t="str">
        <f>""""&amp;RIGHT(A9,LEN(A9)-2)&amp;""": {
 ""Name"" : """&amp;RIGHT(A9,LEN(A9)-2)&amp;""",
 ""OV"" : """&amp;B9&amp;""",
 ""Category"": """&amp;K9&amp;""",
 ""AC"" : "&amp;C9&amp;",
 ""ACBonus"" : """&amp;D9&amp;""",
 ""MaxACBonus"" : "&amp;E9&amp;",
 ""Weight"" : "&amp;L9&amp;",
 ""Price"" : "&amp;M9&amp;",
 ""Discretion"" : """&amp;G9&amp;""",
 ""Strength"" : "&amp;F9&amp;"
  }"</f>
        <v>"Écailles": {
 "Name" : "Écailles",
 "OV" : "Scale mail",
 "Category": "2_MID",
 "AC" : 14,
 "ACBonus" : "DEX",
 "MaxACBonus" : 2,
 "Weight" : 22500,
 "Price" : 5000,
 "Discretion" : "Désavantage",
 "Strength" : 0
  }</v>
      </c>
    </row>
    <row r="10" spans="1:14" ht="15" customHeight="1">
      <c r="A10" s="80" t="s">
        <v>365</v>
      </c>
      <c r="B10" s="80" t="s">
        <v>366</v>
      </c>
      <c r="C10" s="80">
        <v>14</v>
      </c>
      <c r="D10" s="80" t="s">
        <v>1067</v>
      </c>
      <c r="E10" s="80">
        <v>2</v>
      </c>
      <c r="F10" s="80">
        <v>0</v>
      </c>
      <c r="G10" s="80" t="s">
        <v>50</v>
      </c>
      <c r="H10" s="81" t="s">
        <v>361</v>
      </c>
      <c r="I10" s="81" t="s">
        <v>367</v>
      </c>
      <c r="J10" s="84"/>
      <c r="K10" s="73" t="s">
        <v>2557</v>
      </c>
      <c r="L10" s="74">
        <f t="shared" si="0"/>
        <v>10000</v>
      </c>
      <c r="M10" s="74">
        <f t="shared" si="1"/>
        <v>40000</v>
      </c>
      <c r="N10" t="str">
        <f>""""&amp;RIGHT(A10,LEN(A10)-2)&amp;""": {
 ""Name"" : """&amp;RIGHT(A10,LEN(A10)-2)&amp;""",
 ""OV"" : """&amp;B10&amp;""",
 ""Category"": """&amp;K10&amp;""",
 ""AC"" : "&amp;C10&amp;",
 ""ACBonus"" : """&amp;D10&amp;""",
 ""MaxACBonus"" : "&amp;E10&amp;",
 ""Weight"" : "&amp;L10&amp;",
 ""Price"" : "&amp;M10&amp;",
 ""Discretion"" : """&amp;G10&amp;""",
 ""Strength"" : "&amp;F10&amp;"
  }"</f>
        <v>"Cuirasse": {
 "Name" : "Cuirasse",
 "OV" : "Breastplate",
 "Category": "2_MID",
 "AC" : 14,
 "ACBonus" : "DEX",
 "MaxACBonus" : 2,
 "Weight" : 10000,
 "Price" : 40000,
 "Discretion" : "-",
 "Strength" : 0
  }</v>
      </c>
    </row>
    <row r="11" spans="1:14" ht="15" customHeight="1">
      <c r="A11" s="78" t="s">
        <v>368</v>
      </c>
      <c r="B11" s="78" t="s">
        <v>369</v>
      </c>
      <c r="C11" s="78">
        <v>15</v>
      </c>
      <c r="D11" s="78" t="s">
        <v>1067</v>
      </c>
      <c r="E11" s="78">
        <v>2</v>
      </c>
      <c r="F11" s="78">
        <v>0</v>
      </c>
      <c r="G11" s="78" t="s">
        <v>347</v>
      </c>
      <c r="H11" s="79" t="s">
        <v>370</v>
      </c>
      <c r="I11" s="79" t="s">
        <v>371</v>
      </c>
      <c r="J11" s="84"/>
      <c r="K11" s="73" t="s">
        <v>2557</v>
      </c>
      <c r="L11" s="74">
        <f t="shared" si="0"/>
        <v>20000</v>
      </c>
      <c r="M11" s="74">
        <f t="shared" si="1"/>
        <v>75000</v>
      </c>
      <c r="N11" t="str">
        <f>""""&amp;RIGHT(A11,LEN(A11)-2)&amp;""": {
 ""Name"" : """&amp;RIGHT(A11,LEN(A11)-2)&amp;""",
 ""OV"" : """&amp;B11&amp;""",
 ""Category"": """&amp;K11&amp;""",
 ""AC"" : "&amp;C11&amp;",
 ""ACBonus"" : """&amp;D11&amp;""",
 ""MaxACBonus"" : "&amp;E11&amp;",
 ""Weight"" : "&amp;L11&amp;",
 ""Price"" : "&amp;M11&amp;",
 ""Discretion"" : """&amp;G11&amp;""",
 ""Strength"" : "&amp;F11&amp;"
  }"</f>
        <v>"Demi-plate": {
 "Name" : "Demi-plate",
 "OV" : "Half plate",
 "Category": "2_MID",
 "AC" : 15,
 "ACBonus" : "DEX",
 "MaxACBonus" : 2,
 "Weight" : 20000,
 "Price" : 75000,
 "Discretion" : "Désavantage",
 "Strength" : 0
  }</v>
      </c>
    </row>
    <row r="12" spans="1:14" s="88" customFormat="1" ht="15" customHeight="1">
      <c r="A12" s="429" t="s">
        <v>372</v>
      </c>
      <c r="B12" s="429"/>
      <c r="C12" s="429"/>
      <c r="D12" s="429"/>
      <c r="E12" s="429"/>
      <c r="F12" s="429"/>
      <c r="G12" s="429"/>
      <c r="H12" s="429"/>
      <c r="I12" s="429"/>
      <c r="J12" s="85"/>
      <c r="L12" s="87"/>
      <c r="M12" s="87"/>
      <c r="N12"/>
    </row>
    <row r="13" spans="1:14" ht="15" customHeight="1">
      <c r="A13" s="78" t="s">
        <v>373</v>
      </c>
      <c r="B13" s="78" t="s">
        <v>374</v>
      </c>
      <c r="C13" s="78">
        <v>14</v>
      </c>
      <c r="D13" s="78"/>
      <c r="E13" s="79" t="s">
        <v>2823</v>
      </c>
      <c r="F13" s="78">
        <v>0</v>
      </c>
      <c r="G13" s="78" t="s">
        <v>347</v>
      </c>
      <c r="H13" s="79" t="s">
        <v>370</v>
      </c>
      <c r="I13" s="79" t="s">
        <v>95</v>
      </c>
      <c r="J13" s="84"/>
      <c r="K13" s="73" t="s">
        <v>2558</v>
      </c>
      <c r="L13" s="74">
        <f t="shared" si="0"/>
        <v>20000</v>
      </c>
      <c r="M13" s="74">
        <f t="shared" si="1"/>
        <v>3000</v>
      </c>
      <c r="N13" t="str">
        <f>""""&amp;RIGHT(A13,LEN(A13)-2)&amp;""": {
 ""Name"" : """&amp;RIGHT(A13,LEN(A13)-2)&amp;""",
 ""OV"" : """&amp;B13&amp;""",
 ""Category"": """&amp;K13&amp;""",
 ""AC"" : "&amp;C13&amp;",
 ""ACBonus"" : """&amp;D13&amp;""",
 ""MaxACBonus"" : "&amp;E13&amp;",
 ""Weight"" : "&amp;L13&amp;",
 ""Price"" : "&amp;M13&amp;",
 ""Discretion"" : """&amp;G13&amp;""",
 ""Strength"" : "&amp;F13&amp;"
  }"</f>
        <v>"Broigne": {
 "Name" : "Broigne",
 "OV" : "Ring mail",
 "Category": "3_HEAVY",
 "AC" : 14,
 "ACBonus" : "",
 "MaxACBonus" : null,
 "Weight" : 20000,
 "Price" : 3000,
 "Discretion" : "Désavantage",
 "Strength" : 0
  }</v>
      </c>
    </row>
    <row r="14" spans="1:14" ht="15" customHeight="1">
      <c r="A14" s="80" t="s">
        <v>375</v>
      </c>
      <c r="B14" s="80" t="s">
        <v>376</v>
      </c>
      <c r="C14" s="80">
        <v>16</v>
      </c>
      <c r="D14" s="80"/>
      <c r="E14" s="81" t="s">
        <v>2823</v>
      </c>
      <c r="F14" s="80">
        <v>13</v>
      </c>
      <c r="G14" s="80" t="s">
        <v>347</v>
      </c>
      <c r="H14" s="81" t="s">
        <v>377</v>
      </c>
      <c r="I14" s="81" t="s">
        <v>114</v>
      </c>
      <c r="J14" s="84"/>
      <c r="K14" s="73" t="s">
        <v>2558</v>
      </c>
      <c r="L14" s="74">
        <f t="shared" si="0"/>
        <v>27500</v>
      </c>
      <c r="M14" s="74">
        <f t="shared" si="1"/>
        <v>7500</v>
      </c>
      <c r="N14" t="str">
        <f>""""&amp;RIGHT(A14,LEN(A14)-2)&amp;""": {
 ""Name"" : """&amp;RIGHT(A14,LEN(A14)-2)&amp;""",
 ""OV"" : """&amp;B14&amp;""",
 ""Category"": """&amp;K14&amp;""",
 ""AC"" : "&amp;C14&amp;",
 ""ACBonus"" : """&amp;D14&amp;""",
 ""MaxACBonus"" : "&amp;E14&amp;",
 ""Weight"" : "&amp;L14&amp;",
 ""Price"" : "&amp;M14&amp;",
 ""Discretion"" : """&amp;G14&amp;""",
 ""Strength"" : "&amp;F14&amp;"
  }"</f>
        <v>"Cotte de mailles": {
 "Name" : "Cotte de mailles",
 "OV" : "Chain mail",
 "Category": "3_HEAVY",
 "AC" : 16,
 "ACBonus" : "",
 "MaxACBonus" : null,
 "Weight" : 27500,
 "Price" : 7500,
 "Discretion" : "Désavantage",
 "Strength" : 13
  }</v>
      </c>
    </row>
    <row r="15" spans="1:14" ht="15" customHeight="1">
      <c r="A15" s="78" t="s">
        <v>378</v>
      </c>
      <c r="B15" s="78" t="s">
        <v>379</v>
      </c>
      <c r="C15" s="78">
        <v>17</v>
      </c>
      <c r="D15" s="78"/>
      <c r="E15" s="79" t="s">
        <v>2823</v>
      </c>
      <c r="F15" s="78">
        <v>15</v>
      </c>
      <c r="G15" s="78" t="s">
        <v>347</v>
      </c>
      <c r="H15" s="79" t="s">
        <v>380</v>
      </c>
      <c r="I15" s="79" t="s">
        <v>381</v>
      </c>
      <c r="J15" s="84"/>
      <c r="K15" s="73" t="s">
        <v>2558</v>
      </c>
      <c r="L15" s="74">
        <f t="shared" si="0"/>
        <v>30000</v>
      </c>
      <c r="M15" s="74">
        <f t="shared" si="1"/>
        <v>20000</v>
      </c>
      <c r="N15" t="str">
        <f>""""&amp;RIGHT(A15,LEN(A15)-2)&amp;""": {
 ""Name"" : """&amp;RIGHT(A15,LEN(A15)-2)&amp;""",
 ""OV"" : """&amp;B15&amp;""",
 ""Category"": """&amp;K15&amp;""",
 ""AC"" : "&amp;C15&amp;",
 ""ACBonus"" : """&amp;D15&amp;""",
 ""MaxACBonus"" : "&amp;E15&amp;",
 ""Weight"" : "&amp;L15&amp;",
 ""Price"" : "&amp;M15&amp;",
 ""Discretion"" : """&amp;G15&amp;""",
 ""Strength"" : "&amp;F15&amp;"
  }"</f>
        <v>"Clibanion": {
 "Name" : "Clibanion",
 "OV" : "Splint",
 "Category": "3_HEAVY",
 "AC" : 17,
 "ACBonus" : "",
 "MaxACBonus" : null,
 "Weight" : 30000,
 "Price" : 20000,
 "Discretion" : "Désavantage",
 "Strength" : 15
  }</v>
      </c>
    </row>
    <row r="16" spans="1:14" ht="15" customHeight="1">
      <c r="A16" s="80" t="s">
        <v>382</v>
      </c>
      <c r="B16" s="80" t="s">
        <v>383</v>
      </c>
      <c r="C16" s="80">
        <v>18</v>
      </c>
      <c r="D16" s="80"/>
      <c r="E16" s="81" t="s">
        <v>2823</v>
      </c>
      <c r="F16" s="80">
        <v>15</v>
      </c>
      <c r="G16" s="80" t="s">
        <v>347</v>
      </c>
      <c r="H16" s="81" t="s">
        <v>384</v>
      </c>
      <c r="I16" s="81" t="s">
        <v>385</v>
      </c>
      <c r="J16" s="84"/>
      <c r="K16" s="73" t="s">
        <v>2558</v>
      </c>
      <c r="L16" s="74">
        <f t="shared" si="0"/>
        <v>32500</v>
      </c>
      <c r="M16" s="74">
        <f t="shared" si="1"/>
        <v>150000</v>
      </c>
      <c r="N16" t="str">
        <f>""""&amp;RIGHT(A16,LEN(A16)-2)&amp;""": {
 ""Name"" : """&amp;RIGHT(A16,LEN(A16)-2)&amp;""",
 ""OV"" : """&amp;B16&amp;""",
 ""Category"": """&amp;K16&amp;""",
 ""AC"" : "&amp;C16&amp;",
 ""ACBonus"" : """&amp;D16&amp;""",
 ""MaxACBonus"" : "&amp;E16&amp;",
 ""Weight"" : "&amp;L16&amp;",
 ""Price"" : "&amp;M16&amp;",
 ""Discretion"" : """&amp;G16&amp;""",
 ""Strength"" : "&amp;F16&amp;"
  }"</f>
        <v>"Harnois": {
 "Name" : "Harnois",
 "OV" : "Plate",
 "Category": "3_HEAVY",
 "AC" : 18,
 "ACBonus" : "",
 "MaxACBonus" : null,
 "Weight" : 32500,
 "Price" : 150000,
 "Discretion" : "Désavantage",
 "Strength" : 15
  }</v>
      </c>
    </row>
    <row r="17" spans="1:14" s="88" customFormat="1" ht="15" customHeight="1">
      <c r="A17" s="430" t="s">
        <v>386</v>
      </c>
      <c r="B17" s="430"/>
      <c r="C17" s="430"/>
      <c r="D17" s="430"/>
      <c r="E17" s="430"/>
      <c r="F17" s="430"/>
      <c r="G17" s="430"/>
      <c r="H17" s="430"/>
      <c r="I17" s="430"/>
      <c r="J17" s="85"/>
      <c r="K17" s="86"/>
      <c r="L17" s="87"/>
      <c r="M17" s="87"/>
      <c r="N17"/>
    </row>
    <row r="18" spans="1:14" ht="15" customHeight="1">
      <c r="A18" s="80" t="s">
        <v>387</v>
      </c>
      <c r="B18" s="80" t="s">
        <v>388</v>
      </c>
      <c r="C18" s="80">
        <v>2</v>
      </c>
      <c r="D18" s="80"/>
      <c r="E18" s="81" t="s">
        <v>2823</v>
      </c>
      <c r="F18" s="80">
        <v>0</v>
      </c>
      <c r="G18" s="80" t="s">
        <v>50</v>
      </c>
      <c r="H18" s="81" t="s">
        <v>76</v>
      </c>
      <c r="I18" s="81" t="s">
        <v>84</v>
      </c>
      <c r="J18" s="84"/>
      <c r="K18" s="73" t="s">
        <v>2559</v>
      </c>
      <c r="L18" s="74">
        <f t="shared" si="0"/>
        <v>3000</v>
      </c>
      <c r="M18" s="74">
        <f t="shared" si="1"/>
        <v>1000</v>
      </c>
      <c r="N18" t="str">
        <f>""""&amp;RIGHT(A18,LEN(A18)-2)&amp;""": {
 ""Name"" : """&amp;RIGHT(A18,LEN(A18)-2)&amp;""",
 ""OV"" : """&amp;B18&amp;""",
 ""Category"": """&amp;K18&amp;""",
 ""AC"" : "&amp;C18&amp;",
 ""ACBonus"" : """&amp;D18&amp;""",
 ""MaxACBonus"" : "&amp;E18&amp;",
 ""Weight"" : "&amp;L18&amp;",
 ""Price"" : "&amp;M18&amp;",
 ""Discretion"" : """&amp;G18&amp;""",
 ""Strength"" : "&amp;F18&amp;"
  }"</f>
        <v>"Bouclier": {
 "Name" : "Bouclier",
 "OV" : "Shield",
 "Category": "0_SHIELD",
 "AC" : 2,
 "ACBonus" : "",
 "MaxACBonus" : null,
 "Weight" : 3000,
 "Price" : 1000,
 "Discretion" : "-",
 "Strength" : 0
  }</v>
      </c>
    </row>
    <row r="20" spans="1:14">
      <c r="N20" t="str">
        <f>CONCATENATE(N3,",
",N4,",
",N5,",
",N7,",
",N8,",
",N9,",
",N10,",
",N11,",
",N13,",
",N14,",
",N15,",
",N16,",
",N18)</f>
        <v>"Matelassée":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v>
      </c>
    </row>
  </sheetData>
  <mergeCells count="4">
    <mergeCell ref="A2:I2"/>
    <mergeCell ref="A6:I6"/>
    <mergeCell ref="A12:I12"/>
    <mergeCell ref="A17:I1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
  <sheetViews>
    <sheetView workbookViewId="0">
      <selection activeCell="H11" sqref="H11"/>
    </sheetView>
  </sheetViews>
  <sheetFormatPr baseColWidth="10" defaultRowHeight="15"/>
  <cols>
    <col min="4" max="4" width="21" customWidth="1"/>
  </cols>
  <sheetData>
    <row r="1" spans="1:8">
      <c r="A1" s="83" t="s">
        <v>748</v>
      </c>
      <c r="B1" s="83" t="s">
        <v>749</v>
      </c>
      <c r="C1" s="83" t="s">
        <v>300</v>
      </c>
      <c r="D1" s="96" t="s">
        <v>767</v>
      </c>
    </row>
    <row r="2" spans="1:8">
      <c r="A2" s="80" t="s">
        <v>750</v>
      </c>
      <c r="B2" s="81" t="s">
        <v>449</v>
      </c>
      <c r="C2" s="90" t="s">
        <v>751</v>
      </c>
      <c r="D2" s="81" t="s">
        <v>752</v>
      </c>
      <c r="F2" s="74">
        <f>LEFT(B2,LEN(B2)-3)*IF(RIGHT(B2,2)="po",100,IF(RIGHT(B2,2)="pa",10,1))</f>
        <v>800</v>
      </c>
      <c r="G2" s="74">
        <f>IF(RIGHT(D2,2)="kg",LEFT(D2,LEN(D2)-3)*1000,LEFT(D2,LEN(D2)-2))</f>
        <v>210000</v>
      </c>
      <c r="H2" t="str">
        <f>""""&amp;A2&amp;""": {
 ""Name"" : """&amp;A2&amp;""",
 ""Speed"": "&amp;LEFT(C2,LEN(C2)-2)&amp;",
 ""ChargeCapacity"" : "&amp;G2&amp;",
 ""Price"" : "&amp;F2&amp;"
  }"</f>
        <v>"Âne ou mule": {
 "Name" : "Âne ou mule",
 "Speed": 12,
 "ChargeCapacity" : 210000,
 "Price" : 800
  }</v>
      </c>
    </row>
    <row r="3" spans="1:8">
      <c r="A3" s="78" t="s">
        <v>753</v>
      </c>
      <c r="B3" s="79" t="s">
        <v>81</v>
      </c>
      <c r="C3" s="91" t="s">
        <v>754</v>
      </c>
      <c r="D3" s="79" t="s">
        <v>755</v>
      </c>
      <c r="F3" s="74">
        <f t="shared" ref="F3:F8" si="0">LEFT(B3,LEN(B3)-3)*IF(RIGHT(B3,2)="po",100,IF(RIGHT(B3,2)="pa",10,1))</f>
        <v>5000</v>
      </c>
      <c r="G3" s="74">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80" t="s">
        <v>756</v>
      </c>
      <c r="B4" s="81" t="s">
        <v>367</v>
      </c>
      <c r="C4" s="90" t="s">
        <v>757</v>
      </c>
      <c r="D4" s="81" t="s">
        <v>758</v>
      </c>
      <c r="F4" s="74">
        <f t="shared" si="0"/>
        <v>40000</v>
      </c>
      <c r="G4" s="74">
        <f t="shared" si="1"/>
        <v>270000</v>
      </c>
      <c r="H4" t="str">
        <f t="shared" si="2"/>
        <v>"Cheval de guerre": {
 "Name" : "Cheval de guerre",
 "Speed": 18,
 "ChargeCapacity" : 270000,
 "Price" : 40000
  }</v>
      </c>
    </row>
    <row r="5" spans="1:8" ht="25.5">
      <c r="A5" s="78" t="s">
        <v>759</v>
      </c>
      <c r="B5" s="79" t="s">
        <v>114</v>
      </c>
      <c r="C5" s="91" t="s">
        <v>757</v>
      </c>
      <c r="D5" s="79" t="s">
        <v>755</v>
      </c>
      <c r="F5" s="74">
        <f t="shared" si="0"/>
        <v>7500</v>
      </c>
      <c r="G5" s="74">
        <f t="shared" si="1"/>
        <v>240000</v>
      </c>
      <c r="H5" t="str">
        <f t="shared" si="2"/>
        <v>"Cheval de selle": {
 "Name" : "Cheval de selle",
 "Speed": 18,
 "ChargeCapacity" : 240000,
 "Price" : 7500
  }</v>
      </c>
    </row>
    <row r="6" spans="1:8" ht="25.5">
      <c r="A6" s="80" t="s">
        <v>760</v>
      </c>
      <c r="B6" s="81" t="s">
        <v>81</v>
      </c>
      <c r="C6" s="90" t="s">
        <v>751</v>
      </c>
      <c r="D6" s="81" t="s">
        <v>758</v>
      </c>
      <c r="F6" s="74">
        <f t="shared" si="0"/>
        <v>5000</v>
      </c>
      <c r="G6" s="74">
        <f t="shared" si="1"/>
        <v>270000</v>
      </c>
      <c r="H6" t="str">
        <f t="shared" si="2"/>
        <v>"Cheval de trait": {
 "Name" : "Cheval de trait",
 "Speed": 12,
 "ChargeCapacity" : 270000,
 "Price" : 5000
  }</v>
      </c>
    </row>
    <row r="7" spans="1:8">
      <c r="A7" s="78" t="s">
        <v>761</v>
      </c>
      <c r="B7" s="79" t="s">
        <v>381</v>
      </c>
      <c r="C7" s="91" t="s">
        <v>751</v>
      </c>
      <c r="D7" s="79" t="s">
        <v>762</v>
      </c>
      <c r="F7" s="74">
        <f t="shared" si="0"/>
        <v>20000</v>
      </c>
      <c r="G7" s="74">
        <f t="shared" si="1"/>
        <v>660000</v>
      </c>
      <c r="H7" t="str">
        <f t="shared" si="2"/>
        <v>"Éléphant": {
 "Name" : "Éléphant",
 "Speed": 12,
 "ChargeCapacity" : 660000,
 "Price" : 20000
  }</v>
      </c>
    </row>
    <row r="8" spans="1:8">
      <c r="A8" s="80" t="s">
        <v>763</v>
      </c>
      <c r="B8" s="81" t="s">
        <v>61</v>
      </c>
      <c r="C8" s="90" t="s">
        <v>751</v>
      </c>
      <c r="D8" s="81" t="s">
        <v>764</v>
      </c>
      <c r="F8" s="74">
        <f t="shared" si="0"/>
        <v>2500</v>
      </c>
      <c r="G8" s="74">
        <f t="shared" si="1"/>
        <v>95000</v>
      </c>
      <c r="H8" t="str">
        <f t="shared" si="2"/>
        <v>"Molosse": {
 "Name" : "Molosse",
 "Speed": 12,
 "ChargeCapacity" : 95000,
 "Price" : 2500
  }</v>
      </c>
    </row>
    <row r="9" spans="1:8">
      <c r="A9" s="78" t="s">
        <v>765</v>
      </c>
      <c r="B9" s="79" t="s">
        <v>95</v>
      </c>
      <c r="C9" s="91" t="s">
        <v>751</v>
      </c>
      <c r="D9" s="79" t="s">
        <v>766</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
  <sheetViews>
    <sheetView topLeftCell="A4" workbookViewId="0">
      <selection activeCell="H10" sqref="H10"/>
    </sheetView>
  </sheetViews>
  <sheetFormatPr baseColWidth="10" defaultRowHeight="15"/>
  <sheetData>
    <row r="1" spans="1:8">
      <c r="A1" s="83" t="s">
        <v>768</v>
      </c>
      <c r="B1" s="83" t="s">
        <v>15</v>
      </c>
      <c r="C1" s="83" t="s">
        <v>749</v>
      </c>
      <c r="D1" s="83" t="s">
        <v>300</v>
      </c>
    </row>
    <row r="2" spans="1:8">
      <c r="A2" s="80" t="s">
        <v>769</v>
      </c>
      <c r="B2" s="80" t="s">
        <v>770</v>
      </c>
      <c r="C2" s="81" t="s">
        <v>81</v>
      </c>
      <c r="D2" s="81" t="s">
        <v>771</v>
      </c>
      <c r="F2" s="74">
        <f t="shared" ref="F2:F7" si="0">LEFT(C2,LEN(C2)-3)*IF(RIGHT(C2,2)="po",100,IF(RIGHT(C2,2)="pa",10,1))</f>
        <v>5000</v>
      </c>
      <c r="G2" s="74">
        <f t="shared" ref="G2:G7" si="1">IF(RIGHT(D2,4)="km/h",LEFT(D2,LEN(D2)-5)*1000,LEFT(D2,LEN(D2)-2))</f>
        <v>2250</v>
      </c>
      <c r="H2" t="str">
        <f t="shared" ref="H2:H7" si="2">""""&amp;A2&amp;""": {
 ""Name"" : """&amp;A2&amp;""",
 ""OV"" : """&amp;B2&amp;""",
 ""Speed"": """&amp;D2&amp;""",
 ""Price"" : "&amp;F2&amp;"
  }"</f>
        <v>"Barque": {
 "Name" : "Barque",
 "OV" : "Rowboat",
 "Speed": "2,25 km/h",
 "Price" : 5000
  }</v>
      </c>
    </row>
    <row r="3" spans="1:8" ht="25.5">
      <c r="A3" s="78" t="s">
        <v>772</v>
      </c>
      <c r="B3" s="78" t="s">
        <v>773</v>
      </c>
      <c r="C3" s="79" t="s">
        <v>774</v>
      </c>
      <c r="D3" s="79" t="s">
        <v>775</v>
      </c>
      <c r="F3" s="74">
        <f t="shared" si="0"/>
        <v>300000</v>
      </c>
      <c r="G3" s="74">
        <f t="shared" si="1"/>
        <v>1500</v>
      </c>
      <c r="H3" t="str">
        <f t="shared" si="2"/>
        <v>"Bateau à fond plat": {
 "Name" : "Bateau à fond plat",
 "OV" : "Keelboat",
 "Speed": "1,5 km/h",
 "Price" : 300000
  }</v>
      </c>
    </row>
    <row r="4" spans="1:8" ht="25.5">
      <c r="A4" s="80" t="s">
        <v>776</v>
      </c>
      <c r="B4" s="80" t="s">
        <v>777</v>
      </c>
      <c r="C4" s="81" t="s">
        <v>778</v>
      </c>
      <c r="D4" s="81" t="s">
        <v>779</v>
      </c>
      <c r="F4" s="74">
        <f t="shared" si="0"/>
        <v>1000000</v>
      </c>
      <c r="G4" s="74">
        <f t="shared" si="1"/>
        <v>3000</v>
      </c>
      <c r="H4" t="str">
        <f t="shared" si="2"/>
        <v>"Bateau à voiles": {
 "Name" : "Bateau à voiles",
 "OV" : "Sailing ship",
 "Speed": "3 km/h",
 "Price" : 1000000
  }</v>
      </c>
    </row>
    <row r="5" spans="1:8">
      <c r="A5" s="78" t="s">
        <v>780</v>
      </c>
      <c r="B5" s="78" t="s">
        <v>781</v>
      </c>
      <c r="C5" s="79" t="s">
        <v>778</v>
      </c>
      <c r="D5" s="79" t="s">
        <v>782</v>
      </c>
      <c r="F5" s="74">
        <f t="shared" si="0"/>
        <v>1000000</v>
      </c>
      <c r="G5" s="74">
        <f t="shared" si="1"/>
        <v>4500</v>
      </c>
      <c r="H5" t="str">
        <f t="shared" si="2"/>
        <v>"Drakkar": {
 "Name" : "Drakkar",
 "OV" : "Longship",
 "Speed": "4,5 km/h",
 "Price" : 1000000
  }</v>
      </c>
    </row>
    <row r="6" spans="1:8">
      <c r="A6" s="80" t="s">
        <v>783</v>
      </c>
      <c r="B6" s="80" t="s">
        <v>784</v>
      </c>
      <c r="C6" s="81" t="s">
        <v>785</v>
      </c>
      <c r="D6" s="81" t="s">
        <v>786</v>
      </c>
      <c r="F6" s="74">
        <f t="shared" si="0"/>
        <v>3000000</v>
      </c>
      <c r="G6" s="74">
        <f t="shared" si="1"/>
        <v>6000</v>
      </c>
      <c r="H6" t="str">
        <f t="shared" si="2"/>
        <v>"Galère": {
 "Name" : "Galère",
 "OV" : "Galley",
 "Speed": "6 km/h",
 "Price" : 3000000
  }</v>
      </c>
    </row>
    <row r="7" spans="1:8" ht="25.5">
      <c r="A7" s="78" t="s">
        <v>787</v>
      </c>
      <c r="B7" s="78" t="s">
        <v>788</v>
      </c>
      <c r="C7" s="79" t="s">
        <v>789</v>
      </c>
      <c r="D7" s="79" t="s">
        <v>790</v>
      </c>
      <c r="F7" s="74">
        <f t="shared" si="0"/>
        <v>2500000</v>
      </c>
      <c r="G7" s="74">
        <f t="shared" si="1"/>
        <v>3750</v>
      </c>
      <c r="H7" t="str">
        <f t="shared" si="2"/>
        <v>"Navire de guerre": {
 "Name" : "Navire de guerre",
 "OV" : "Warship",
 "Speed": "3,75 km/h",
 "Price" : 2500000
  }</v>
      </c>
    </row>
    <row r="8" spans="1:8">
      <c r="F8" s="74"/>
      <c r="G8" s="74"/>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82"/>
  <sheetViews>
    <sheetView topLeftCell="A14" workbookViewId="0">
      <selection activeCell="A29" sqref="A29"/>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83" t="s">
        <v>389</v>
      </c>
      <c r="B1" s="83" t="s">
        <v>15</v>
      </c>
      <c r="C1" s="83" t="s">
        <v>18</v>
      </c>
      <c r="D1" s="83" t="s">
        <v>17</v>
      </c>
    </row>
    <row r="2" spans="1:14" s="88" customFormat="1">
      <c r="A2" s="77" t="s">
        <v>390</v>
      </c>
      <c r="B2" s="77" t="s">
        <v>391</v>
      </c>
      <c r="C2" s="92"/>
      <c r="D2" s="92"/>
      <c r="E2" s="88" t="s">
        <v>476</v>
      </c>
      <c r="H2" s="88" t="str">
        <f>""""&amp;E2&amp;""":  {""Code"": """&amp;E2&amp;""", ""Name"": """&amp;A2&amp;""", ""OV"": """&amp;B2&amp;"""}"</f>
        <v>"MUSIC":  {"Code": "MUSIC", "Name": "Instruments de musique", "OV": "Musical instrument"}</v>
      </c>
    </row>
    <row r="3" spans="1:14">
      <c r="A3" s="78" t="s">
        <v>392</v>
      </c>
      <c r="B3" s="78" t="s">
        <v>393</v>
      </c>
      <c r="C3" s="79" t="s">
        <v>29</v>
      </c>
      <c r="D3" s="79" t="s">
        <v>28</v>
      </c>
      <c r="E3" s="40" t="s">
        <v>476</v>
      </c>
      <c r="F3" s="74">
        <f t="shared" ref="F3:F12" si="0">LEFT(C3,LEN(C3)-3)*IF(RIGHT(C3,2)="po",100,IF(RIGHT(C3,2)="pa",10,1))</f>
        <v>200</v>
      </c>
      <c r="G3" s="74" t="str">
        <f t="shared" ref="G3:G12" si="1">IF(RIGHT(D3,2)="kg",LEFT(D3,LEN(D3)-3)*1000,LEFT(D3,LEN(D3)-2))</f>
        <v>500</v>
      </c>
      <c r="H3" s="88"/>
      <c r="I3" t="str">
        <f>""""&amp;RIGHT(A3,LEN(A3)-2)&amp;""": {
 ""Name"" : """&amp;RIGHT(A3,LEN(A3)-2)&amp;""",
 ""OV"" : """&amp;B3&amp;""",
 ""Category"": """&amp;E3&amp;""",
 ""Weight"" : "&amp;G3&amp;",
 ""Price"" : "&amp;F3&amp;"
  }"</f>
        <v>"Chalemie": {
 "Name" : "Chalemie",
 "OV" : "  Shawm",
 "Category": "MUSIC",
 "Weight" : 500,
 "Price" : 200
  }</v>
      </c>
      <c r="J3" s="40"/>
      <c r="K3" s="40"/>
      <c r="L3" s="40"/>
      <c r="M3" s="40"/>
      <c r="N3" s="40"/>
    </row>
    <row r="4" spans="1:14">
      <c r="A4" s="80" t="s">
        <v>394</v>
      </c>
      <c r="B4" s="80" t="s">
        <v>395</v>
      </c>
      <c r="C4" s="81" t="s">
        <v>396</v>
      </c>
      <c r="D4" s="81" t="s">
        <v>33</v>
      </c>
      <c r="E4" s="40" t="s">
        <v>476</v>
      </c>
      <c r="F4" s="74">
        <f t="shared" si="0"/>
        <v>300</v>
      </c>
      <c r="G4" s="74">
        <f t="shared" si="1"/>
        <v>1000</v>
      </c>
      <c r="H4" s="88"/>
      <c r="I4" t="str">
        <f t="shared" ref="I4:I12" si="2">""""&amp;RIGHT(A4,LEN(A4)-2)&amp;""": {
 ""Name"" : """&amp;RIGHT(A4,LEN(A4)-2)&amp;""",
 ""OV"" : """&amp;B4&amp;""",
 ""Category"": """&amp;E4&amp;""",
 ""Weight"" : "&amp;G4&amp;",
 ""Price"" : "&amp;F4&amp;"
  }"</f>
        <v>"Cor": {
 "Name" : "Cor",
 "OV" : "  Horn",
 "Category": "MUSIC",
 "Weight" : 1000,
 "Price" : 300
  }</v>
      </c>
      <c r="J4" s="40"/>
      <c r="K4" s="40"/>
      <c r="L4" s="40"/>
      <c r="M4" s="40"/>
      <c r="N4" s="40"/>
    </row>
    <row r="5" spans="1:14">
      <c r="A5" s="78" t="s">
        <v>397</v>
      </c>
      <c r="B5" s="78" t="s">
        <v>398</v>
      </c>
      <c r="C5" s="79" t="s">
        <v>95</v>
      </c>
      <c r="D5" s="79" t="s">
        <v>76</v>
      </c>
      <c r="E5" s="40" t="s">
        <v>476</v>
      </c>
      <c r="F5" s="74">
        <f t="shared" si="0"/>
        <v>3000</v>
      </c>
      <c r="G5" s="74">
        <f t="shared" si="1"/>
        <v>3000</v>
      </c>
      <c r="H5" s="88"/>
      <c r="I5" t="str">
        <f t="shared" si="2"/>
        <v>"Cornemuse": {
 "Name" : "Cornemuse",
 "OV" : "  Bagpipes",
 "Category": "MUSIC",
 "Weight" : 3000,
 "Price" : 3000
  }</v>
      </c>
      <c r="J5" s="40"/>
      <c r="K5" s="40"/>
      <c r="L5" s="40"/>
      <c r="M5" s="40"/>
      <c r="N5" s="40"/>
    </row>
    <row r="6" spans="1:14">
      <c r="A6" s="80" t="s">
        <v>399</v>
      </c>
      <c r="B6" s="80" t="s">
        <v>400</v>
      </c>
      <c r="C6" s="81" t="s">
        <v>29</v>
      </c>
      <c r="D6" s="81" t="s">
        <v>28</v>
      </c>
      <c r="E6" s="40" t="s">
        <v>476</v>
      </c>
      <c r="F6" s="74">
        <f t="shared" si="0"/>
        <v>200</v>
      </c>
      <c r="G6" s="74" t="str">
        <f t="shared" si="1"/>
        <v>500</v>
      </c>
      <c r="H6" s="88"/>
      <c r="I6" t="str">
        <f t="shared" si="2"/>
        <v>"Flûte": {
 "Name" : "Flûte",
 "OV" : "  Flute ",
 "Category": "MUSIC",
 "Weight" : 500,
 "Price" : 200
  }</v>
      </c>
      <c r="J6" s="40"/>
      <c r="K6" s="40"/>
      <c r="L6" s="40"/>
      <c r="M6" s="40"/>
      <c r="N6" s="40"/>
    </row>
    <row r="7" spans="1:14">
      <c r="A7" s="78" t="s">
        <v>401</v>
      </c>
      <c r="B7" s="78" t="s">
        <v>402</v>
      </c>
      <c r="C7" s="79" t="s">
        <v>403</v>
      </c>
      <c r="D7" s="79" t="s">
        <v>33</v>
      </c>
      <c r="E7" s="40" t="s">
        <v>476</v>
      </c>
      <c r="F7" s="74">
        <f t="shared" si="0"/>
        <v>1200</v>
      </c>
      <c r="G7" s="74">
        <f t="shared" si="1"/>
        <v>1000</v>
      </c>
      <c r="H7" s="88"/>
      <c r="I7" t="str">
        <f t="shared" si="2"/>
        <v>"Flûte de pan": {
 "Name" : "Flûte de pan",
 "OV" : "  Pan flute",
 "Category": "MUSIC",
 "Weight" : 1000,
 "Price" : 1200
  }</v>
      </c>
      <c r="J7" s="40"/>
      <c r="K7" s="40"/>
      <c r="L7" s="40"/>
      <c r="M7" s="40"/>
      <c r="N7" s="40"/>
    </row>
    <row r="8" spans="1:14">
      <c r="A8" s="80" t="s">
        <v>404</v>
      </c>
      <c r="B8" s="80" t="s">
        <v>405</v>
      </c>
      <c r="C8" s="81" t="s">
        <v>406</v>
      </c>
      <c r="D8" s="81" t="s">
        <v>33</v>
      </c>
      <c r="E8" s="40" t="s">
        <v>476</v>
      </c>
      <c r="F8" s="74">
        <f t="shared" si="0"/>
        <v>3500</v>
      </c>
      <c r="G8" s="74">
        <f t="shared" si="1"/>
        <v>1000</v>
      </c>
      <c r="H8" s="88"/>
      <c r="I8" t="str">
        <f t="shared" si="2"/>
        <v>"Luth": {
 "Name" : "Luth",
 "OV" : "  Lute",
 "Category": "MUSIC",
 "Weight" : 1000,
 "Price" : 3500
  }</v>
      </c>
      <c r="J8" s="40"/>
      <c r="K8" s="40"/>
      <c r="L8" s="40"/>
      <c r="M8" s="40"/>
      <c r="N8" s="40"/>
    </row>
    <row r="9" spans="1:14">
      <c r="A9" s="78" t="s">
        <v>407</v>
      </c>
      <c r="B9" s="78" t="s">
        <v>407</v>
      </c>
      <c r="C9" s="79" t="s">
        <v>95</v>
      </c>
      <c r="D9" s="79" t="s">
        <v>33</v>
      </c>
      <c r="E9" s="40" t="s">
        <v>476</v>
      </c>
      <c r="F9" s="74">
        <f t="shared" si="0"/>
        <v>3000</v>
      </c>
      <c r="G9" s="74">
        <f t="shared" si="1"/>
        <v>1000</v>
      </c>
      <c r="H9" s="88"/>
      <c r="I9" t="str">
        <f t="shared" si="2"/>
        <v>"Lyre": {
 "Name" : "Lyre",
 "OV" : "  Lyre",
 "Category": "MUSIC",
 "Weight" : 1000,
 "Price" : 3000
  }</v>
      </c>
      <c r="J9" s="40"/>
      <c r="K9" s="40"/>
      <c r="L9" s="40"/>
      <c r="M9" s="40"/>
      <c r="N9" s="40"/>
    </row>
    <row r="10" spans="1:14">
      <c r="A10" s="80" t="s">
        <v>408</v>
      </c>
      <c r="B10" s="80" t="s">
        <v>409</v>
      </c>
      <c r="C10" s="81" t="s">
        <v>410</v>
      </c>
      <c r="D10" s="81" t="s">
        <v>45</v>
      </c>
      <c r="E10" s="40" t="s">
        <v>476</v>
      </c>
      <c r="F10" s="74">
        <f t="shared" si="0"/>
        <v>600</v>
      </c>
      <c r="G10" s="74">
        <f t="shared" si="1"/>
        <v>1500</v>
      </c>
      <c r="H10" s="88"/>
      <c r="I10" t="str">
        <f t="shared" si="2"/>
        <v>"Tambour": {
 "Name" : "Tambour",
 "OV" : "  Drum",
 "Category": "MUSIC",
 "Weight" : 1500,
 "Price" : 600
  }</v>
      </c>
      <c r="J10" s="40"/>
      <c r="K10" s="40"/>
      <c r="L10" s="40"/>
      <c r="M10" s="40"/>
      <c r="N10" s="40"/>
    </row>
    <row r="11" spans="1:14">
      <c r="A11" s="78" t="s">
        <v>411</v>
      </c>
      <c r="B11" s="78" t="s">
        <v>412</v>
      </c>
      <c r="C11" s="79" t="s">
        <v>61</v>
      </c>
      <c r="D11" s="79" t="s">
        <v>53</v>
      </c>
      <c r="E11" s="40" t="s">
        <v>476</v>
      </c>
      <c r="F11" s="74">
        <f t="shared" si="0"/>
        <v>2500</v>
      </c>
      <c r="G11" s="74">
        <f t="shared" si="1"/>
        <v>5000</v>
      </c>
      <c r="H11" s="88"/>
      <c r="I11" t="str">
        <f t="shared" si="2"/>
        <v>"Tympanon": {
 "Name" : "Tympanon",
 "OV" : "  Dulcimer",
 "Category": "MUSIC",
 "Weight" : 5000,
 "Price" : 2500
  }</v>
      </c>
      <c r="J11" s="40"/>
      <c r="K11" s="40"/>
      <c r="L11" s="40"/>
      <c r="M11" s="40"/>
      <c r="N11" s="40"/>
    </row>
    <row r="12" spans="1:14">
      <c r="A12" s="80" t="s">
        <v>413</v>
      </c>
      <c r="B12" s="80" t="s">
        <v>414</v>
      </c>
      <c r="C12" s="81" t="s">
        <v>95</v>
      </c>
      <c r="D12" s="81" t="s">
        <v>28</v>
      </c>
      <c r="E12" s="40" t="s">
        <v>476</v>
      </c>
      <c r="F12" s="74">
        <f t="shared" si="0"/>
        <v>3000</v>
      </c>
      <c r="G12" s="74" t="str">
        <f t="shared" si="1"/>
        <v>500</v>
      </c>
      <c r="H12" s="88"/>
      <c r="I12" t="str">
        <f t="shared" si="2"/>
        <v>"Viole": {
 "Name" : "Viole",
 "OV" : "  Viol",
 "Category": "MUSIC",
 "Weight" : 500,
 "Price" : 3000
  }</v>
      </c>
      <c r="J12" s="40"/>
      <c r="K12" s="40"/>
      <c r="L12" s="40"/>
      <c r="M12" s="40"/>
      <c r="N12" s="40"/>
    </row>
    <row r="13" spans="1:14" s="88" customFormat="1">
      <c r="A13" s="82" t="s">
        <v>415</v>
      </c>
      <c r="B13" s="82" t="s">
        <v>416</v>
      </c>
      <c r="C13" s="76"/>
      <c r="D13" s="76"/>
      <c r="E13" s="88" t="s">
        <v>477</v>
      </c>
      <c r="F13" s="74"/>
      <c r="G13" s="74"/>
      <c r="H13" s="88" t="str">
        <f>""""&amp;E13&amp;""":  {""Code"": """&amp;E13&amp;""", ""Name"": """&amp;A13&amp;""", ""OV"": """&amp;B13&amp;"""}"</f>
        <v>"GAME":  {"Code": "GAME", "Name": "Jeux", "OV": "Gaming set"}</v>
      </c>
      <c r="I13"/>
    </row>
    <row r="14" spans="1:14">
      <c r="A14" s="80" t="s">
        <v>417</v>
      </c>
      <c r="B14" s="80" t="s">
        <v>418</v>
      </c>
      <c r="C14" s="81" t="s">
        <v>34</v>
      </c>
      <c r="D14" s="90" t="s">
        <v>298</v>
      </c>
      <c r="E14" s="40" t="s">
        <v>477</v>
      </c>
      <c r="F14" s="74">
        <f>LEFT(C14,LEN(C14)-3)*IF(RIGHT(C14,2)="po",100,IF(RIGHT(C14,2)="pa",10,1))</f>
        <v>10</v>
      </c>
      <c r="G14" s="74" t="str">
        <f>IF(RIGHT(D14,2)="kg",LEFT(D14,LEN(D14)-3)*1000,LEFT(D14,LEN(D14)-2))</f>
        <v>0</v>
      </c>
      <c r="H14" s="88"/>
      <c r="I14" t="str">
        <f>""""&amp;RIGHT(A14,LEN(A14)-2)&amp;""": {
 ""Name"" : """&amp;RIGHT(A14,LEN(A14)-2)&amp;""",
 ""OV"" : """&amp;B14&amp;""",
 ""Category"": """&amp;E14&amp;""",
 ""Weight"" : "&amp;G14&amp;",
 ""Price"" : "&amp;F14&amp;"
  }"</f>
        <v>"Dés": {
 "Name" : "Dés",
 "OV" : "  Dice set",
 "Category": "GAME",
 "Weight" : 0,
 "Price" : 10
  }</v>
      </c>
      <c r="J14" s="40"/>
      <c r="K14" s="40"/>
      <c r="L14" s="40"/>
      <c r="M14" s="40"/>
      <c r="N14" s="40"/>
    </row>
    <row r="15" spans="1:14">
      <c r="A15" s="78" t="s">
        <v>419</v>
      </c>
      <c r="B15" s="78" t="s">
        <v>420</v>
      </c>
      <c r="C15" s="79" t="s">
        <v>46</v>
      </c>
      <c r="D15" s="79" t="s">
        <v>421</v>
      </c>
      <c r="E15" s="40" t="s">
        <v>477</v>
      </c>
      <c r="F15" s="74">
        <f>LEFT(C15,LEN(C15)-3)*IF(RIGHT(C15,2)="po",100,IF(RIGHT(C15,2)="pa",10,1))</f>
        <v>100</v>
      </c>
      <c r="G15" s="74" t="str">
        <f>IF(RIGHT(D15,2)="kg",LEFT(D15,LEN(D15)-3)*1000,LEFT(D15,LEN(D15)-2))</f>
        <v>250</v>
      </c>
      <c r="H15" s="88"/>
      <c r="I15" t="str">
        <f t="shared" ref="I15:I17" si="3">""""&amp;RIGHT(A15,LEN(A15)-2)&amp;""": {
 ""Name"" : """&amp;RIGHT(A15,LEN(A15)-2)&amp;""",
 ""OV"" : """&amp;B15&amp;""",
 ""Category"": """&amp;E15&amp;""",
 ""Weight"" : "&amp;G15&amp;",
 ""Price"" : "&amp;F15&amp;"
  }"</f>
        <v>"Jeu d'échecs draconiques": {
 "Name" : "Jeu d'échecs draconiques",
 "OV" : "  Dragonchess set ",
 "Category": "GAME",
 "Weight" : 250,
 "Price" : 100
  }</v>
      </c>
      <c r="J15" s="40"/>
      <c r="K15" s="40"/>
      <c r="L15" s="40"/>
      <c r="M15" s="40"/>
      <c r="N15" s="40"/>
    </row>
    <row r="16" spans="1:14">
      <c r="A16" s="80" t="s">
        <v>422</v>
      </c>
      <c r="B16" s="80" t="s">
        <v>423</v>
      </c>
      <c r="C16" s="81" t="s">
        <v>42</v>
      </c>
      <c r="D16" s="90" t="s">
        <v>298</v>
      </c>
      <c r="E16" s="40" t="s">
        <v>477</v>
      </c>
      <c r="F16" s="74">
        <f>LEFT(C16,LEN(C16)-3)*IF(RIGHT(C16,2)="po",100,IF(RIGHT(C16,2)="pa",10,1))</f>
        <v>50</v>
      </c>
      <c r="G16" s="74" t="str">
        <f>IF(RIGHT(D16,2)="kg",LEFT(D16,LEN(D16)-3)*1000,LEFT(D16,LEN(D16)-2))</f>
        <v>0</v>
      </c>
      <c r="H16" s="88"/>
      <c r="I16" t="str">
        <f t="shared" si="3"/>
        <v>"Jeu de cartes": {
 "Name" : "Jeu de cartes",
 "OV" : "  Playing card set",
 "Category": "GAME",
 "Weight" : 0,
 "Price" : 50
  }</v>
      </c>
      <c r="J16" s="40"/>
      <c r="K16" s="40"/>
      <c r="L16" s="40"/>
      <c r="M16" s="40"/>
      <c r="N16" s="40"/>
    </row>
    <row r="17" spans="1:14" ht="25.5">
      <c r="A17" s="78" t="s">
        <v>424</v>
      </c>
      <c r="B17" s="78" t="s">
        <v>425</v>
      </c>
      <c r="C17" s="79" t="s">
        <v>46</v>
      </c>
      <c r="D17" s="91" t="s">
        <v>298</v>
      </c>
      <c r="E17" s="40" t="s">
        <v>477</v>
      </c>
      <c r="F17" s="74">
        <f>LEFT(C17,LEN(C17)-3)*IF(RIGHT(C17,2)="po",100,IF(RIGHT(C17,2)="pa",10,1))</f>
        <v>100</v>
      </c>
      <c r="G17" s="74" t="str">
        <f>IF(RIGHT(D17,2)="kg",LEFT(D17,LEN(D17)-3)*1000,LEFT(D17,LEN(D17)-2))</f>
        <v>0</v>
      </c>
      <c r="H17" s="88"/>
      <c r="I17" t="str">
        <f t="shared" si="3"/>
        <v>"Jeu des Dragons": {
 "Name" : "Jeu des Dragons",
 "OV" : "  Three-Dragon Ante set",
 "Category": "GAME",
 "Weight" : 0,
 "Price" : 100
  }</v>
      </c>
      <c r="J17" s="40"/>
      <c r="K17" s="40"/>
      <c r="L17" s="40"/>
      <c r="M17" s="40"/>
      <c r="N17" s="40"/>
    </row>
    <row r="18" spans="1:14" s="88" customFormat="1">
      <c r="A18" s="76" t="s">
        <v>473</v>
      </c>
      <c r="B18" s="76" t="s">
        <v>473</v>
      </c>
      <c r="C18" s="93"/>
      <c r="D18" s="94"/>
      <c r="E18" s="88" t="s">
        <v>478</v>
      </c>
      <c r="F18" s="74"/>
      <c r="G18" s="74"/>
      <c r="H18" s="88" t="str">
        <f>""""&amp;E18&amp;""":  {""Code"": """&amp;E18&amp;""", ""Name"": """&amp;A18&amp;""", ""OV"": """&amp;B18&amp;"""}"</f>
        <v>"KIT":  {"Code": "KIT", "Name": "Kits", "OV": "Kits"}</v>
      </c>
      <c r="I18"/>
    </row>
    <row r="19" spans="1:14">
      <c r="A19" s="80" t="s">
        <v>488</v>
      </c>
      <c r="B19" s="80" t="s">
        <v>426</v>
      </c>
      <c r="C19" s="81" t="s">
        <v>81</v>
      </c>
      <c r="D19" s="81" t="s">
        <v>33</v>
      </c>
      <c r="E19" s="40" t="s">
        <v>478</v>
      </c>
      <c r="F19" s="74">
        <f>LEFT(C19,LEN(C19)-3)*IF(RIGHT(C19,2)="po",100,IF(RIGHT(C19,2)="pa",10,1))</f>
        <v>5000</v>
      </c>
      <c r="G19" s="74">
        <f>IF(RIGHT(D19,2)="kg",LEFT(D19,LEN(D19)-3)*1000,LEFT(D19,LEN(D19)-2))</f>
        <v>1000</v>
      </c>
      <c r="H19" s="88"/>
      <c r="I19" t="str">
        <f>""""&amp;RIGHT(A19,LEN(A19)-2)&amp;""": {
 ""Name"" : """&amp;RIGHT(A19,LEN(A19)-2)&amp;""",
 ""OV"" : """&amp;B19&amp;""",
 ""Category"": """&amp;E19&amp;""",
 ""Weight"" : "&amp;G19&amp;",
 ""Price"" : "&amp;F19&amp;"
  }"</f>
        <v>"Kit d'empoisonneur": {
 "Name" : "Kit d'empoisonneur",
 "OV" : "Poisoner's kit ",
 "Category": "KIT",
 "Weight" : 1000,
 "Price" : 5000
  }</v>
      </c>
      <c r="J19" s="40"/>
      <c r="K19" s="40"/>
      <c r="L19" s="40"/>
      <c r="M19" s="40"/>
      <c r="N19" s="40"/>
    </row>
    <row r="20" spans="1:14">
      <c r="A20" s="78" t="s">
        <v>487</v>
      </c>
      <c r="B20" s="78" t="s">
        <v>427</v>
      </c>
      <c r="C20" s="79" t="s">
        <v>38</v>
      </c>
      <c r="D20" s="79" t="s">
        <v>45</v>
      </c>
      <c r="E20" s="40" t="s">
        <v>478</v>
      </c>
      <c r="F20" s="74">
        <f>LEFT(C20,LEN(C20)-3)*IF(RIGHT(C20,2)="po",100,IF(RIGHT(C20,2)="pa",10,1))</f>
        <v>500</v>
      </c>
      <c r="G20" s="74">
        <f>IF(RIGHT(D20,2)="kg",LEFT(D20,LEN(D20)-3)*1000,LEFT(D20,LEN(D20)-2))</f>
        <v>1500</v>
      </c>
      <c r="H20" s="88"/>
      <c r="I20" t="str">
        <f t="shared" ref="I20:I22" si="4">""""&amp;RIGHT(A20,LEN(A20)-2)&amp;""": {
 ""Name"" : """&amp;RIGHT(A20,LEN(A20)-2)&amp;""",
 ""OV"" : """&amp;B20&amp;""",
 ""Category"": """&amp;E20&amp;""",
 ""Weight"" : "&amp;G20&amp;",
 ""Price"" : "&amp;F20&amp;"
  }"</f>
        <v>"Kit d'herboriste": {
 "Name" : "Kit d'herboriste",
 "OV" : "Herbalism kit ",
 "Category": "KIT",
 "Weight" : 1500,
 "Price" : 500
  }</v>
      </c>
      <c r="J20" s="40"/>
      <c r="K20" s="40"/>
      <c r="L20" s="40"/>
      <c r="M20" s="40"/>
      <c r="N20" s="40"/>
    </row>
    <row r="21" spans="1:14">
      <c r="A21" s="80" t="s">
        <v>486</v>
      </c>
      <c r="B21" s="80" t="s">
        <v>428</v>
      </c>
      <c r="C21" s="81" t="s">
        <v>87</v>
      </c>
      <c r="D21" s="81" t="s">
        <v>60</v>
      </c>
      <c r="E21" s="40" t="s">
        <v>478</v>
      </c>
      <c r="F21" s="74">
        <f>LEFT(C21,LEN(C21)-3)*IF(RIGHT(C21,2)="po",100,IF(RIGHT(C21,2)="pa",10,1))</f>
        <v>1500</v>
      </c>
      <c r="G21" s="74">
        <f>IF(RIGHT(D21,2)="kg",LEFT(D21,LEN(D21)-3)*1000,LEFT(D21,LEN(D21)-2))</f>
        <v>2500</v>
      </c>
      <c r="H21" s="88"/>
      <c r="I21" t="str">
        <f t="shared" si="4"/>
        <v>"Kit de contrefaçon": {
 "Name" : "Kit de contrefaçon",
 "OV" : "Forgery kit ",
 "Category": "KIT",
 "Weight" : 2500,
 "Price" : 1500
  }</v>
      </c>
      <c r="J21" s="40"/>
      <c r="K21" s="40"/>
      <c r="L21" s="40"/>
      <c r="M21" s="40"/>
      <c r="N21" s="40"/>
    </row>
    <row r="22" spans="1:14">
      <c r="A22" s="78" t="s">
        <v>485</v>
      </c>
      <c r="B22" s="78" t="s">
        <v>429</v>
      </c>
      <c r="C22" s="79" t="s">
        <v>61</v>
      </c>
      <c r="D22" s="79" t="s">
        <v>45</v>
      </c>
      <c r="E22" s="40" t="s">
        <v>478</v>
      </c>
      <c r="F22" s="74">
        <f>LEFT(C22,LEN(C22)-3)*IF(RIGHT(C22,2)="po",100,IF(RIGHT(C22,2)="pa",10,1))</f>
        <v>2500</v>
      </c>
      <c r="G22" s="74">
        <f>IF(RIGHT(D22,2)="kg",LEFT(D22,LEN(D22)-3)*1000,LEFT(D22,LEN(D22)-2))</f>
        <v>1500</v>
      </c>
      <c r="H22" s="88"/>
      <c r="I22" t="str">
        <f t="shared" si="4"/>
        <v>"Kit de déguisement": {
 "Name" : "Kit de déguisement",
 "OV" : "Disguise kit ",
 "Category": "KIT",
 "Weight" : 1500,
 "Price" : 2500
  }</v>
      </c>
      <c r="J22" s="40"/>
      <c r="K22" s="40"/>
      <c r="L22" s="40"/>
      <c r="M22" s="40"/>
      <c r="N22" s="40"/>
    </row>
    <row r="23" spans="1:14" s="88" customFormat="1">
      <c r="A23" s="77" t="s">
        <v>430</v>
      </c>
      <c r="B23" s="77" t="s">
        <v>431</v>
      </c>
      <c r="C23" s="92"/>
      <c r="D23" s="92"/>
      <c r="E23" s="88" t="s">
        <v>479</v>
      </c>
      <c r="F23" s="74"/>
      <c r="G23" s="74"/>
      <c r="H23" s="88" t="str">
        <f>""""&amp;E23&amp;""":  {""Code"": """&amp;E23&amp;""", ""Name"": """&amp;A23&amp;""", ""OV"": """&amp;B23&amp;"""}"</f>
        <v>"ARTISAN":  {"Code": "ARTISAN", "Name": "Outils d'artisan", "OV": "Artisan's tools"}</v>
      </c>
      <c r="I23"/>
    </row>
    <row r="24" spans="1:14">
      <c r="A24" s="78" t="s">
        <v>432</v>
      </c>
      <c r="B24" s="78" t="s">
        <v>433</v>
      </c>
      <c r="C24" s="79" t="s">
        <v>81</v>
      </c>
      <c r="D24" s="79" t="s">
        <v>348</v>
      </c>
      <c r="E24" s="40" t="s">
        <v>479</v>
      </c>
      <c r="F24" s="74">
        <f t="shared" ref="F24:F42" si="5">LEFT(C24,LEN(C24)-3)*IF(RIGHT(C24,2)="po",100,IF(RIGHT(C24,2)="pa",10,1))</f>
        <v>5000</v>
      </c>
      <c r="G24" s="74">
        <f t="shared" ref="G24:G42" si="6">IF(RIGHT(D24,2)="kg",LEFT(D24,LEN(D24)-3)*1000,LEFT(D24,LEN(D24)-2))</f>
        <v>4000</v>
      </c>
      <c r="H24" s="88"/>
      <c r="I24" t="str">
        <f>""""&amp;RIGHT(A24,LEN(A24)-2)&amp;""": {
 ""Name"" : """&amp;RIGHT(A24,LEN(A24)-2)&amp;""",
 ""OV"" : """&amp;B24&amp;""",
 ""Category"": """&amp;E24&amp;""",
 ""Weight"" : "&amp;G24&amp;",
 ""Price"" : "&amp;F24&amp;"
  }"</f>
        <v>"Matériel d'alchimiste": {
 "Name" : "Matériel d'alchimiste",
 "OV" : "  Alchemist's supplies",
 "Category": "ARTISAN",
 "Weight" : 4000,
 "Price" : 5000
  }</v>
      </c>
      <c r="J24" s="40"/>
      <c r="K24" s="40"/>
      <c r="L24" s="40"/>
      <c r="M24" s="40"/>
      <c r="N24" s="40"/>
    </row>
    <row r="25" spans="1:14">
      <c r="A25" s="80" t="s">
        <v>434</v>
      </c>
      <c r="B25" s="80" t="s">
        <v>435</v>
      </c>
      <c r="C25" s="81" t="s">
        <v>77</v>
      </c>
      <c r="D25" s="81" t="s">
        <v>436</v>
      </c>
      <c r="E25" s="40" t="s">
        <v>479</v>
      </c>
      <c r="F25" s="74">
        <f t="shared" si="5"/>
        <v>2000</v>
      </c>
      <c r="G25" s="74">
        <f t="shared" si="6"/>
        <v>4500</v>
      </c>
      <c r="H25" s="88"/>
      <c r="I25" t="str">
        <f t="shared" ref="I25:I42" si="7">""""&amp;RIGHT(A25,LEN(A25)-2)&amp;""": {
 ""Name"" : """&amp;RIGHT(A25,LEN(A25)-2)&amp;""",
 ""OV"" : """&amp;B25&amp;""",
 ""Category"": """&amp;E25&amp;""",
 ""Weight"" : "&amp;G25&amp;",
 ""Price"" : "&amp;F25&amp;"
  }"</f>
        <v>"Matériel de brasseur": {
 "Name" : "Matériel de brasseur",
 "OV" : "  Brewer's supplies",
 "Category": "ARTISAN",
 "Weight" : 4500,
 "Price" : 2000
  }</v>
      </c>
      <c r="J25" s="40"/>
      <c r="K25" s="40"/>
      <c r="L25" s="40"/>
      <c r="M25" s="40"/>
      <c r="N25" s="40"/>
    </row>
    <row r="26" spans="1:14" ht="25.5">
      <c r="A26" s="78" t="s">
        <v>437</v>
      </c>
      <c r="B26" s="78" t="s">
        <v>438</v>
      </c>
      <c r="C26" s="79" t="s">
        <v>84</v>
      </c>
      <c r="D26" s="79" t="s">
        <v>60</v>
      </c>
      <c r="E26" s="40" t="s">
        <v>479</v>
      </c>
      <c r="F26" s="74">
        <f t="shared" si="5"/>
        <v>1000</v>
      </c>
      <c r="G26" s="74">
        <f t="shared" si="6"/>
        <v>2500</v>
      </c>
      <c r="H26" s="88"/>
      <c r="I26" t="str">
        <f t="shared" si="7"/>
        <v>"Matériel de calligraphe": {
 "Name" : "Matériel de calligraphe",
 "OV" : "  Calligrapher's supplies",
 "Category": "ARTISAN",
 "Weight" : 2500,
 "Price" : 1000
  }</v>
      </c>
      <c r="J26" s="40"/>
      <c r="K26" s="40"/>
      <c r="L26" s="40"/>
      <c r="M26" s="40"/>
      <c r="N26" s="40"/>
    </row>
    <row r="27" spans="1:14">
      <c r="A27" s="80" t="s">
        <v>439</v>
      </c>
      <c r="B27" s="80" t="s">
        <v>440</v>
      </c>
      <c r="C27" s="81" t="s">
        <v>84</v>
      </c>
      <c r="D27" s="81" t="s">
        <v>60</v>
      </c>
      <c r="E27" s="40" t="s">
        <v>479</v>
      </c>
      <c r="F27" s="74">
        <f t="shared" si="5"/>
        <v>1000</v>
      </c>
      <c r="G27" s="74">
        <f t="shared" si="6"/>
        <v>2500</v>
      </c>
      <c r="H27" s="88"/>
      <c r="I27" t="str">
        <f t="shared" si="7"/>
        <v>"Matériel de peintre": {
 "Name" : "Matériel de peintre",
 "OV" : "  Painter's supplies",
 "Category": "ARTISAN",
 "Weight" : 2500,
 "Price" : 1000
  }</v>
      </c>
      <c r="J27" s="40"/>
      <c r="K27" s="40"/>
      <c r="L27" s="40"/>
      <c r="M27" s="40"/>
      <c r="N27" s="40"/>
    </row>
    <row r="28" spans="1:14">
      <c r="A28" s="78" t="s">
        <v>441</v>
      </c>
      <c r="B28" s="78" t="s">
        <v>442</v>
      </c>
      <c r="C28" s="79" t="s">
        <v>61</v>
      </c>
      <c r="D28" s="79" t="s">
        <v>33</v>
      </c>
      <c r="E28" s="40" t="s">
        <v>479</v>
      </c>
      <c r="F28" s="74">
        <f t="shared" si="5"/>
        <v>2500</v>
      </c>
      <c r="G28" s="74">
        <f t="shared" si="6"/>
        <v>1000</v>
      </c>
      <c r="H28" s="88"/>
      <c r="I28" t="str">
        <f t="shared" si="7"/>
        <v>"Outils de bijoutier": {
 "Name" : "Outils de bijoutier",
 "OV" : "  Jeweler's tools",
 "Category": "ARTISAN",
 "Weight" : 1000,
 "Price" : 2500
  }</v>
      </c>
      <c r="J28" s="40"/>
      <c r="K28" s="40"/>
      <c r="L28" s="40"/>
      <c r="M28" s="40"/>
      <c r="N28" s="40"/>
    </row>
    <row r="29" spans="1:14">
      <c r="A29" s="80" t="s">
        <v>443</v>
      </c>
      <c r="B29" s="80" t="s">
        <v>444</v>
      </c>
      <c r="C29" s="81" t="s">
        <v>81</v>
      </c>
      <c r="D29" s="81" t="s">
        <v>53</v>
      </c>
      <c r="E29" s="40" t="s">
        <v>479</v>
      </c>
      <c r="F29" s="74">
        <f t="shared" si="5"/>
        <v>5000</v>
      </c>
      <c r="G29" s="74">
        <f t="shared" si="6"/>
        <v>5000</v>
      </c>
      <c r="H29" s="88"/>
      <c r="I29" t="str">
        <f t="shared" si="7"/>
        <v>"Outils de bricoleur": {
 "Name" : "Outils de bricoleur",
 "OV" : "  Tinker's tools",
 "Category": "ARTISAN",
 "Weight" : 5000,
 "Price" : 5000
  }</v>
      </c>
      <c r="J29" s="40"/>
      <c r="K29" s="40"/>
      <c r="L29" s="40"/>
      <c r="M29" s="40"/>
      <c r="N29" s="40"/>
    </row>
    <row r="30" spans="1:14">
      <c r="A30" s="78" t="s">
        <v>445</v>
      </c>
      <c r="B30" s="78" t="s">
        <v>446</v>
      </c>
      <c r="C30" s="79" t="s">
        <v>87</v>
      </c>
      <c r="D30" s="79" t="s">
        <v>76</v>
      </c>
      <c r="E30" s="40" t="s">
        <v>479</v>
      </c>
      <c r="F30" s="74">
        <f t="shared" si="5"/>
        <v>1500</v>
      </c>
      <c r="G30" s="74">
        <f t="shared" si="6"/>
        <v>3000</v>
      </c>
      <c r="H30" s="88"/>
      <c r="I30" t="str">
        <f t="shared" si="7"/>
        <v>"Outils de cartographe": {
 "Name" : "Outils de cartographe",
 "OV" : "  Cartographer's tools",
 "Category": "ARTISAN",
 "Weight" : 3000,
 "Price" : 1500
  }</v>
      </c>
      <c r="J30" s="40"/>
      <c r="K30" s="40"/>
      <c r="L30" s="40"/>
      <c r="M30" s="40"/>
      <c r="N30" s="40"/>
    </row>
    <row r="31" spans="1:14">
      <c r="A31" s="80" t="s">
        <v>447</v>
      </c>
      <c r="B31" s="80" t="s">
        <v>448</v>
      </c>
      <c r="C31" s="81" t="s">
        <v>449</v>
      </c>
      <c r="D31" s="81" t="s">
        <v>76</v>
      </c>
      <c r="E31" s="40" t="s">
        <v>479</v>
      </c>
      <c r="F31" s="74">
        <f t="shared" si="5"/>
        <v>800</v>
      </c>
      <c r="G31" s="74">
        <f t="shared" si="6"/>
        <v>3000</v>
      </c>
      <c r="H31" s="88"/>
      <c r="I31" t="str">
        <f t="shared" si="7"/>
        <v>"Outils de charpentier": {
 "Name" : "Outils de charpentier",
 "OV" : "  Carpenter's tools",
 "Category": "ARTISAN",
 "Weight" : 3000,
 "Price" : 800
  }</v>
      </c>
      <c r="J31" s="40"/>
      <c r="K31" s="40"/>
      <c r="L31" s="40"/>
      <c r="M31" s="40"/>
      <c r="N31" s="40"/>
    </row>
    <row r="32" spans="1:14">
      <c r="A32" s="78" t="s">
        <v>450</v>
      </c>
      <c r="B32" s="78" t="s">
        <v>451</v>
      </c>
      <c r="C32" s="79" t="s">
        <v>38</v>
      </c>
      <c r="D32" s="79" t="s">
        <v>60</v>
      </c>
      <c r="E32" s="40" t="s">
        <v>479</v>
      </c>
      <c r="F32" s="74">
        <f t="shared" si="5"/>
        <v>500</v>
      </c>
      <c r="G32" s="74">
        <f t="shared" si="6"/>
        <v>2500</v>
      </c>
      <c r="H32" s="88"/>
      <c r="I32" t="str">
        <f t="shared" si="7"/>
        <v>"Outils de cordonnier": {
 "Name" : "Outils de cordonnier",
 "OV" : "  Cobblers' tools",
 "Category": "ARTISAN",
 "Weight" : 2500,
 "Price" : 500
  }</v>
      </c>
      <c r="J32" s="40"/>
      <c r="K32" s="40"/>
      <c r="L32" s="40"/>
      <c r="M32" s="40"/>
      <c r="N32" s="40"/>
    </row>
    <row r="33" spans="1:14">
      <c r="A33" s="80" t="s">
        <v>452</v>
      </c>
      <c r="B33" s="80" t="s">
        <v>453</v>
      </c>
      <c r="C33" s="81" t="s">
        <v>77</v>
      </c>
      <c r="D33" s="81" t="s">
        <v>348</v>
      </c>
      <c r="E33" s="40" t="s">
        <v>479</v>
      </c>
      <c r="F33" s="74">
        <f t="shared" si="5"/>
        <v>2000</v>
      </c>
      <c r="G33" s="74">
        <f t="shared" si="6"/>
        <v>4000</v>
      </c>
      <c r="H33" s="88"/>
      <c r="I33" t="str">
        <f t="shared" si="7"/>
        <v>"Outils de forgeron": {
 "Name" : "Outils de forgeron",
 "OV" : "  Smith's tools",
 "Category": "ARTISAN",
 "Weight" : 4000,
 "Price" : 2000
  }</v>
      </c>
      <c r="J33" s="40"/>
      <c r="K33" s="40"/>
      <c r="L33" s="40"/>
      <c r="M33" s="40"/>
      <c r="N33" s="40"/>
    </row>
    <row r="34" spans="1:14">
      <c r="A34" s="78" t="s">
        <v>454</v>
      </c>
      <c r="B34" s="78" t="s">
        <v>455</v>
      </c>
      <c r="C34" s="79" t="s">
        <v>84</v>
      </c>
      <c r="D34" s="79" t="s">
        <v>348</v>
      </c>
      <c r="E34" s="40" t="s">
        <v>479</v>
      </c>
      <c r="F34" s="74">
        <f t="shared" si="5"/>
        <v>1000</v>
      </c>
      <c r="G34" s="74">
        <f t="shared" si="6"/>
        <v>4000</v>
      </c>
      <c r="H34" s="88"/>
      <c r="I34" t="str">
        <f t="shared" si="7"/>
        <v>"Outils de maçon": {
 "Name" : "Outils de maçon",
 "OV" : "  Mason's tools",
 "Category": "ARTISAN",
 "Weight" : 4000,
 "Price" : 1000
  }</v>
      </c>
      <c r="J34" s="40"/>
      <c r="K34" s="40"/>
      <c r="L34" s="40"/>
      <c r="M34" s="40"/>
      <c r="N34" s="40"/>
    </row>
    <row r="35" spans="1:14">
      <c r="A35" s="80" t="s">
        <v>456</v>
      </c>
      <c r="B35" s="80" t="s">
        <v>457</v>
      </c>
      <c r="C35" s="81" t="s">
        <v>46</v>
      </c>
      <c r="D35" s="81" t="s">
        <v>60</v>
      </c>
      <c r="E35" s="40" t="s">
        <v>479</v>
      </c>
      <c r="F35" s="74">
        <f t="shared" si="5"/>
        <v>100</v>
      </c>
      <c r="G35" s="74">
        <f t="shared" si="6"/>
        <v>2500</v>
      </c>
      <c r="H35" s="88"/>
      <c r="I35" t="str">
        <f t="shared" si="7"/>
        <v>"Outils de menuisier": {
 "Name" : "Outils de menuisier",
 "OV" : "  Woodcarver's tools",
 "Category": "ARTISAN",
 "Weight" : 2500,
 "Price" : 100
  }</v>
      </c>
      <c r="J35" s="40"/>
      <c r="K35" s="40"/>
      <c r="L35" s="40"/>
      <c r="M35" s="40"/>
      <c r="N35" s="40"/>
    </row>
    <row r="36" spans="1:14">
      <c r="A36" s="78" t="s">
        <v>458</v>
      </c>
      <c r="B36" s="78" t="s">
        <v>459</v>
      </c>
      <c r="C36" s="79" t="s">
        <v>84</v>
      </c>
      <c r="D36" s="79" t="s">
        <v>33</v>
      </c>
      <c r="E36" s="40" t="s">
        <v>479</v>
      </c>
      <c r="F36" s="74">
        <f t="shared" si="5"/>
        <v>1000</v>
      </c>
      <c r="G36" s="74">
        <f t="shared" si="6"/>
        <v>1000</v>
      </c>
      <c r="H36" s="88"/>
      <c r="I36" t="str">
        <f t="shared" si="7"/>
        <v>"Outils de potier": {
 "Name" : "Outils de potier",
 "OV" : "  Potter's tools",
 "Category": "ARTISAN",
 "Weight" : 1000,
 "Price" : 1000
  }</v>
      </c>
      <c r="J36" s="40"/>
      <c r="K36" s="40"/>
      <c r="L36" s="40"/>
      <c r="M36" s="40"/>
      <c r="N36" s="40"/>
    </row>
    <row r="37" spans="1:14">
      <c r="A37" s="80" t="s">
        <v>460</v>
      </c>
      <c r="B37" s="80" t="s">
        <v>461</v>
      </c>
      <c r="C37" s="81" t="s">
        <v>95</v>
      </c>
      <c r="D37" s="81" t="s">
        <v>60</v>
      </c>
      <c r="E37" s="40" t="s">
        <v>479</v>
      </c>
      <c r="F37" s="74">
        <f t="shared" si="5"/>
        <v>3000</v>
      </c>
      <c r="G37" s="74">
        <f t="shared" si="6"/>
        <v>2500</v>
      </c>
      <c r="H37" s="88"/>
      <c r="I37" t="str">
        <f t="shared" si="7"/>
        <v>"Outils de souffleur de verre": {
 "Name" : "Outils de souffleur de verre",
 "OV" : "  Glassblower's tools",
 "Category": "ARTISAN",
 "Weight" : 2500,
 "Price" : 3000
  }</v>
      </c>
      <c r="J37" s="40"/>
      <c r="K37" s="40"/>
      <c r="L37" s="40"/>
      <c r="M37" s="40"/>
      <c r="N37" s="40"/>
    </row>
    <row r="38" spans="1:14" ht="25.5">
      <c r="A38" s="78" t="s">
        <v>462</v>
      </c>
      <c r="B38" s="78" t="s">
        <v>463</v>
      </c>
      <c r="C38" s="79" t="s">
        <v>38</v>
      </c>
      <c r="D38" s="79" t="s">
        <v>60</v>
      </c>
      <c r="E38" s="40" t="s">
        <v>479</v>
      </c>
      <c r="F38" s="74">
        <f t="shared" si="5"/>
        <v>500</v>
      </c>
      <c r="G38" s="74">
        <f t="shared" si="6"/>
        <v>2500</v>
      </c>
      <c r="H38" s="88"/>
      <c r="I38" t="str">
        <f t="shared" si="7"/>
        <v>"Outils de tanneur": {
 "Name" : "Outils de tanneur",
 "OV" : "  Leatherworker's tools ",
 "Category": "ARTISAN",
 "Weight" : 2500,
 "Price" : 500
  }</v>
      </c>
      <c r="J38" s="40"/>
      <c r="K38" s="40"/>
      <c r="L38" s="40"/>
      <c r="M38" s="40"/>
      <c r="N38" s="40"/>
    </row>
    <row r="39" spans="1:14">
      <c r="A39" s="80" t="s">
        <v>464</v>
      </c>
      <c r="B39" s="80" t="s">
        <v>465</v>
      </c>
      <c r="C39" s="81" t="s">
        <v>46</v>
      </c>
      <c r="D39" s="81" t="s">
        <v>60</v>
      </c>
      <c r="E39" s="40" t="s">
        <v>479</v>
      </c>
      <c r="F39" s="74">
        <f t="shared" si="5"/>
        <v>100</v>
      </c>
      <c r="G39" s="74">
        <f t="shared" si="6"/>
        <v>2500</v>
      </c>
      <c r="H39" s="88"/>
      <c r="I39" t="str">
        <f t="shared" si="7"/>
        <v>"Outils de tisserand": {
 "Name" : "Outils de tisserand",
 "OV" : "  Weaver's tools",
 "Category": "ARTISAN",
 "Weight" : 2500,
 "Price" : 100
  }</v>
      </c>
      <c r="J39" s="40"/>
      <c r="K39" s="40"/>
      <c r="L39" s="40"/>
      <c r="M39" s="40"/>
      <c r="N39" s="40"/>
    </row>
    <row r="40" spans="1:14">
      <c r="A40" s="78" t="s">
        <v>466</v>
      </c>
      <c r="B40" s="78" t="s">
        <v>467</v>
      </c>
      <c r="C40" s="79" t="s">
        <v>46</v>
      </c>
      <c r="D40" s="79" t="s">
        <v>348</v>
      </c>
      <c r="E40" s="40" t="s">
        <v>479</v>
      </c>
      <c r="F40" s="74">
        <f t="shared" si="5"/>
        <v>100</v>
      </c>
      <c r="G40" s="74">
        <f t="shared" si="6"/>
        <v>4000</v>
      </c>
      <c r="H40" s="88"/>
      <c r="I40" t="str">
        <f t="shared" si="7"/>
        <v>"Ustensiles de cuisinier": {
 "Name" : "Ustensiles de cuisinier",
 "OV" : "  Cook's utensils",
 "Category": "ARTISAN",
 "Weight" : 4000,
 "Price" : 100
  }</v>
      </c>
      <c r="J40" s="40"/>
      <c r="K40" s="40"/>
      <c r="L40" s="40"/>
      <c r="M40" s="40"/>
      <c r="N40" s="40"/>
    </row>
    <row r="41" spans="1:14">
      <c r="A41" s="80" t="s">
        <v>481</v>
      </c>
      <c r="B41" s="80" t="s">
        <v>468</v>
      </c>
      <c r="C41" s="81" t="s">
        <v>61</v>
      </c>
      <c r="D41" s="81" t="s">
        <v>33</v>
      </c>
      <c r="E41" s="40" t="s">
        <v>479</v>
      </c>
      <c r="F41" s="74">
        <f t="shared" si="5"/>
        <v>2500</v>
      </c>
      <c r="G41" s="74">
        <f t="shared" si="6"/>
        <v>1000</v>
      </c>
      <c r="H41" s="88"/>
      <c r="I41" t="str">
        <f t="shared" si="7"/>
        <v>"Outils de navigateur": {
 "Name" : "Outils de navigateur",
 "OV" : "Navigator's tools ",
 "Category": "ARTISAN",
 "Weight" : 1000,
 "Price" : 2500
  }</v>
      </c>
      <c r="J41" s="40"/>
      <c r="K41" s="40"/>
      <c r="L41" s="40"/>
      <c r="M41" s="40"/>
      <c r="N41" s="40"/>
    </row>
    <row r="42" spans="1:14">
      <c r="A42" s="78" t="s">
        <v>482</v>
      </c>
      <c r="B42" s="78" t="s">
        <v>469</v>
      </c>
      <c r="C42" s="79" t="s">
        <v>61</v>
      </c>
      <c r="D42" s="79" t="s">
        <v>28</v>
      </c>
      <c r="E42" s="40" t="s">
        <v>479</v>
      </c>
      <c r="F42" s="74">
        <f t="shared" si="5"/>
        <v>2500</v>
      </c>
      <c r="G42" s="74" t="str">
        <f t="shared" si="6"/>
        <v>500</v>
      </c>
      <c r="H42" s="88"/>
      <c r="I42" t="str">
        <f t="shared" si="7"/>
        <v>"Outils de voleur": {
 "Name" : "Outils de voleur",
 "OV" : "Thieves' tools ",
 "Category": "ARTISAN",
 "Weight" : 500,
 "Price" : 2500
  }</v>
      </c>
      <c r="J42" s="40"/>
      <c r="K42" s="40"/>
      <c r="L42" s="40"/>
      <c r="M42" s="40"/>
      <c r="N42" s="40"/>
    </row>
    <row r="43" spans="1:14" s="88" customFormat="1">
      <c r="A43" s="76" t="s">
        <v>474</v>
      </c>
      <c r="B43" s="76" t="s">
        <v>475</v>
      </c>
      <c r="C43" s="93"/>
      <c r="D43" s="93"/>
      <c r="E43" s="88" t="s">
        <v>480</v>
      </c>
      <c r="F43" s="74"/>
      <c r="G43" s="74"/>
      <c r="H43" s="88" t="str">
        <f>""""&amp;E43&amp;""":  {""Code"": """&amp;E43&amp;""", ""Name"": """&amp;A43&amp;""", ""OV"": """&amp;B43&amp;"""}"</f>
        <v>"VEHICLE":  {"Code": "VEHICLE", "Name": "Véhicules", "OV": "Vehicles"}</v>
      </c>
      <c r="I43"/>
    </row>
    <row r="44" spans="1:14">
      <c r="A44" s="80" t="s">
        <v>483</v>
      </c>
      <c r="B44" s="80" t="s">
        <v>470</v>
      </c>
      <c r="C44" s="90" t="s">
        <v>471</v>
      </c>
      <c r="D44" s="90" t="s">
        <v>471</v>
      </c>
      <c r="E44" s="40" t="s">
        <v>480</v>
      </c>
      <c r="F44" s="74">
        <v>0</v>
      </c>
      <c r="G44" s="74">
        <v>0</v>
      </c>
      <c r="H44" s="88"/>
      <c r="I44" t="str">
        <f>""""&amp;RIGHT(A44,LEN(A44)-2)&amp;""": {
 ""Name"" : """&amp;RIGHT(A44,LEN(A44)-2)&amp;""",
 ""OV"" : """&amp;B44&amp;""",
 ""Category"": """&amp;E44&amp;""",
 ""Weight"" : "&amp;G44&amp;",
 ""Price"" : "&amp;F44&amp;"
  }"</f>
        <v>"Véhicules (terrestres)": {
 "Name" : "Véhicules (terrestres)",
 "OV" : "Vehicles (land)",
 "Category": "VEHICLE",
 "Weight" : 0,
 "Price" : 0
  }</v>
      </c>
      <c r="J44" s="40"/>
      <c r="K44" s="40"/>
      <c r="L44" s="40"/>
      <c r="M44" s="40"/>
      <c r="N44" s="40"/>
    </row>
    <row r="45" spans="1:14">
      <c r="A45" s="78" t="s">
        <v>484</v>
      </c>
      <c r="B45" s="78" t="s">
        <v>472</v>
      </c>
      <c r="C45" s="91" t="s">
        <v>471</v>
      </c>
      <c r="D45" s="91" t="s">
        <v>471</v>
      </c>
      <c r="E45" s="40" t="s">
        <v>480</v>
      </c>
      <c r="F45" s="74">
        <v>0</v>
      </c>
      <c r="G45" s="74">
        <v>0</v>
      </c>
      <c r="H45" s="88"/>
      <c r="I45" t="str">
        <f>""""&amp;RIGHT(A45,LEN(A45)-2)&amp;""": {
 ""Name"" : """&amp;RIGHT(A45,LEN(A45)-2)&amp;""",
 ""OV"" : """&amp;B45&amp;""",
 ""Category"": """&amp;E45&amp;""",
 ""Weight"" : "&amp;G45&amp;",
 ""Price"" : "&amp;F45&amp;"
  }"</f>
        <v>"Véhicules (aquatiques)": {
 "Name" : "Véhicules (aquatiques)",
 "OV" : "Vehicles (water)",
 "Category": "VEHICLE",
 "Weight" : 0,
 "Price" : 0
  }</v>
      </c>
      <c r="J45" s="40"/>
      <c r="K45" s="40"/>
      <c r="L45" s="40"/>
      <c r="M45" s="40"/>
      <c r="N45" s="40"/>
    </row>
    <row r="46" spans="1:14" s="88" customFormat="1">
      <c r="A46" s="82" t="s">
        <v>722</v>
      </c>
      <c r="B46" s="76" t="s">
        <v>729</v>
      </c>
      <c r="C46" s="93"/>
      <c r="D46" s="93"/>
      <c r="E46" s="88" t="s">
        <v>728</v>
      </c>
      <c r="F46" s="87"/>
      <c r="G46" s="87"/>
      <c r="H46" s="88" t="str">
        <f>""""&amp;E46&amp;""":  {""Code"": """&amp;E46&amp;""", ""Name"": """&amp;A46&amp;""", ""OV"": """&amp;B46&amp;"""}"</f>
        <v>"SADDLE":  {"Code": "SADDLE", "Name": "Selle", "OV": "Saddle"}</v>
      </c>
    </row>
    <row r="47" spans="1:14">
      <c r="A47" s="80" t="s">
        <v>740</v>
      </c>
      <c r="B47" s="80" t="s">
        <v>744</v>
      </c>
      <c r="C47" s="81" t="s">
        <v>84</v>
      </c>
      <c r="D47" s="81" t="s">
        <v>526</v>
      </c>
      <c r="E47" s="40" t="s">
        <v>728</v>
      </c>
      <c r="F47" s="74">
        <f>LEFT(C47,LEN(C47)-3)*IF(RIGHT(C47,2)="po",100,IF(RIGHT(C47,2)="pa",10,1))</f>
        <v>1000</v>
      </c>
      <c r="G47" s="74">
        <f>IF(RIGHT(D47,2)="kg",LEFT(D47,LEN(D47)-3)*1000,LEFT(D47,LEN(D47)-2))</f>
        <v>12500</v>
      </c>
      <c r="I47" t="str">
        <f>""""&amp;RIGHT(A47,LEN(A47)-2)&amp;""": {
 ""Name"" : """&amp;RIGHT(A47,LEN(A47)-2)&amp;""",
 ""OV"" : """&amp;B47&amp;""",
 ""Category"": """&amp;E47&amp;""",
 ""Weight"" : "&amp;G47&amp;",
 ""Price"" : "&amp;F47&amp;"
  }"</f>
        <v>"Selle d'équitation": {
 "Name" : "Selle d'équitation",
 "OV" : "Riding saddle",
 "Category": "SADDLE",
 "Weight" : 12500,
 "Price" : 1000
  }</v>
      </c>
    </row>
    <row r="48" spans="1:14">
      <c r="A48" s="78" t="s">
        <v>741</v>
      </c>
      <c r="B48" s="78" t="s">
        <v>745</v>
      </c>
      <c r="C48" s="79" t="s">
        <v>38</v>
      </c>
      <c r="D48" s="79" t="s">
        <v>723</v>
      </c>
      <c r="E48" s="40" t="s">
        <v>728</v>
      </c>
      <c r="F48" s="74">
        <f>LEFT(C48,LEN(C48)-3)*IF(RIGHT(C48,2)="po",100,IF(RIGHT(C48,2)="pa",10,1))</f>
        <v>500</v>
      </c>
      <c r="G48" s="74">
        <f>IF(RIGHT(D48,2)="kg",LEFT(D48,LEN(D48)-3)*1000,LEFT(D48,LEN(D48)-2))</f>
        <v>7500</v>
      </c>
      <c r="I48" t="str">
        <f t="shared" ref="I48:I55" si="8">""""&amp;RIGHT(A48,LEN(A48)-2)&amp;""": {
 ""Name"" : """&amp;RIGHT(A48,LEN(A48)-2)&amp;""",
 ""OV"" : """&amp;B48&amp;""",
 ""Category"": """&amp;E48&amp;""",
 ""Weight"" : "&amp;G48&amp;",
 ""Price"" : "&amp;F48&amp;"
  }"</f>
        <v>"Selle de bât": {
 "Name" : "Selle de bât",
 "OV" : "Pack saddle",
 "Category": "SADDLE",
 "Weight" : 7500,
 "Price" : 500
  }</v>
      </c>
    </row>
    <row r="49" spans="1:9">
      <c r="A49" s="80" t="s">
        <v>743</v>
      </c>
      <c r="B49" s="80" t="s">
        <v>746</v>
      </c>
      <c r="C49" s="81" t="s">
        <v>724</v>
      </c>
      <c r="D49" s="81" t="s">
        <v>370</v>
      </c>
      <c r="E49" s="40" t="s">
        <v>728</v>
      </c>
      <c r="F49" s="74">
        <f>LEFT(C49,LEN(C49)-3)*IF(RIGHT(C49,2)="po",100,IF(RIGHT(C49,2)="pa",10,1))</f>
        <v>6000</v>
      </c>
      <c r="G49" s="74">
        <f>IF(RIGHT(D49,2)="kg",LEFT(D49,LEN(D49)-3)*1000,LEFT(D49,LEN(D49)-2))</f>
        <v>20000</v>
      </c>
      <c r="I49" t="str">
        <f t="shared" si="8"/>
        <v>"Selle exotique": {
 "Name" : "Selle exotique",
 "OV" : "Exotic saddle",
 "Category": "SADDLE",
 "Weight" : 20000,
 "Price" : 6000
  }</v>
      </c>
    </row>
    <row r="50" spans="1:9">
      <c r="A50" s="78" t="s">
        <v>742</v>
      </c>
      <c r="B50" s="78" t="s">
        <v>747</v>
      </c>
      <c r="C50" s="79" t="s">
        <v>77</v>
      </c>
      <c r="D50" s="79" t="s">
        <v>725</v>
      </c>
      <c r="E50" s="40" t="s">
        <v>728</v>
      </c>
      <c r="F50" s="74">
        <f>LEFT(C50,LEN(C50)-3)*IF(RIGHT(C50,2)="po",100,IF(RIGHT(C50,2)="pa",10,1))</f>
        <v>2000</v>
      </c>
      <c r="G50" s="74">
        <f>IF(RIGHT(D50,2)="kg",LEFT(D50,LEN(D50)-3)*1000,LEFT(D50,LEN(D50)-2))</f>
        <v>15000</v>
      </c>
      <c r="I50" t="str">
        <f t="shared" si="8"/>
        <v>"Selle militaire": {
 "Name" : "Selle militaire",
 "OV" : "Military saddle",
 "Category": "SADDLE",
 "Weight" : 15000,
 "Price" : 2000
  }</v>
      </c>
    </row>
    <row r="51" spans="1:9">
      <c r="A51" s="80" t="s">
        <v>730</v>
      </c>
      <c r="B51" s="80" t="s">
        <v>706</v>
      </c>
      <c r="C51" s="81" t="s">
        <v>707</v>
      </c>
      <c r="D51" s="81" t="s">
        <v>708</v>
      </c>
      <c r="E51" s="40" t="s">
        <v>480</v>
      </c>
      <c r="F51">
        <v>0</v>
      </c>
      <c r="G51">
        <v>0</v>
      </c>
      <c r="I51" t="str">
        <f t="shared" si="8"/>
        <v>"Barde": {
 "Name" : "Barde",
 "OV" : "Barding",
 "Category": "VEHICLE",
 "Weight" : 0,
 "Price" : 0
  }</v>
      </c>
    </row>
    <row r="52" spans="1:9">
      <c r="A52" s="78" t="s">
        <v>731</v>
      </c>
      <c r="B52" s="78" t="s">
        <v>709</v>
      </c>
      <c r="C52" s="79" t="s">
        <v>590</v>
      </c>
      <c r="D52" s="79" t="s">
        <v>710</v>
      </c>
      <c r="E52" s="40" t="s">
        <v>480</v>
      </c>
      <c r="F52" s="74">
        <f>LEFT(C52,LEN(C52)-3)*IF(RIGHT(C52,2)="po",100,IF(RIGHT(C52,2)="pa",10,1))</f>
        <v>10000</v>
      </c>
      <c r="G52" s="74">
        <f>IF(RIGHT(D52,2)="kg",LEFT(D52,LEN(D52)-3)*1000,LEFT(D52,LEN(D52)-2))</f>
        <v>300000</v>
      </c>
      <c r="I52" t="str">
        <f t="shared" si="8"/>
        <v>"Carrosse": {
 "Name" : "Carrosse",
 "OV" : "Carriage",
 "Category": "VEHICLE",
 "Weight" : 300000,
 "Price" : 10000
  }</v>
      </c>
    </row>
    <row r="53" spans="1:9">
      <c r="A53" s="80" t="s">
        <v>732</v>
      </c>
      <c r="B53" s="80" t="s">
        <v>711</v>
      </c>
      <c r="C53" s="81" t="s">
        <v>712</v>
      </c>
      <c r="D53" s="81" t="s">
        <v>713</v>
      </c>
      <c r="E53" s="40" t="s">
        <v>480</v>
      </c>
      <c r="F53" s="74">
        <f t="shared" ref="F53:F61" si="9">LEFT(C53,LEN(C53)-3)*IF(RIGHT(C53,2)="po",100,IF(RIGHT(C53,2)="pa",10,1))</f>
        <v>25000</v>
      </c>
      <c r="G53" s="74">
        <f t="shared" ref="G53:G61" si="10">IF(RIGHT(D53,2)="kg",LEFT(D53,LEN(D53)-3)*1000,LEFT(D53,LEN(D53)-2))</f>
        <v>50000</v>
      </c>
      <c r="I53" t="str">
        <f t="shared" si="8"/>
        <v>"Char": {
 "Name" : "Char",
 "OV" : "Chariot",
 "Category": "VEHICLE",
 "Weight" : 50000,
 "Price" : 25000
  }</v>
      </c>
    </row>
    <row r="54" spans="1:9">
      <c r="A54" s="78" t="s">
        <v>733</v>
      </c>
      <c r="B54" s="78" t="s">
        <v>714</v>
      </c>
      <c r="C54" s="79" t="s">
        <v>406</v>
      </c>
      <c r="D54" s="79" t="s">
        <v>715</v>
      </c>
      <c r="E54" s="40" t="s">
        <v>480</v>
      </c>
      <c r="F54" s="74">
        <f t="shared" si="9"/>
        <v>3500</v>
      </c>
      <c r="G54" s="74">
        <f t="shared" si="10"/>
        <v>200000</v>
      </c>
      <c r="I54" t="str">
        <f t="shared" si="8"/>
        <v>"Chariot": {
 "Name" : "Chariot",
 "OV" : "Wagon",
 "Category": "VEHICLE",
 "Weight" : 200000,
 "Price" : 3500
  }</v>
      </c>
    </row>
    <row r="55" spans="1:9">
      <c r="A55" s="80" t="s">
        <v>734</v>
      </c>
      <c r="B55" s="80" t="s">
        <v>716</v>
      </c>
      <c r="C55" s="81" t="s">
        <v>87</v>
      </c>
      <c r="D55" s="81" t="s">
        <v>717</v>
      </c>
      <c r="E55" s="40" t="s">
        <v>480</v>
      </c>
      <c r="F55" s="74">
        <f t="shared" si="9"/>
        <v>1500</v>
      </c>
      <c r="G55" s="74">
        <f t="shared" si="10"/>
        <v>100000</v>
      </c>
      <c r="I55" t="str">
        <f t="shared" si="8"/>
        <v>"Charrette": {
 "Name" : "Charrette",
 "OV" : "Cart",
 "Category": "VEHICLE",
 "Weight" : 100000,
 "Price" : 1500
  }</v>
      </c>
    </row>
    <row r="56" spans="1:9">
      <c r="A56" s="92" t="s">
        <v>2954</v>
      </c>
      <c r="B56" s="92" t="s">
        <v>2955</v>
      </c>
      <c r="C56" s="95"/>
      <c r="D56" s="95"/>
      <c r="E56" s="88" t="s">
        <v>2730</v>
      </c>
      <c r="F56" s="74"/>
      <c r="G56" s="74"/>
      <c r="H56" s="88" t="str">
        <f>""""&amp;E56&amp;""":  {""Code"": """&amp;E56&amp;""", ""Name"": """&amp;A56&amp;""", ""OV"": """&amp;B56&amp;"""}"</f>
        <v>"VEHICLE_RELATIVE":  {"Code": "VEHICLE_RELATIVE", "Name": "Composants de véhicules", "OV": "Vehicles relative"}</v>
      </c>
    </row>
    <row r="57" spans="1:9">
      <c r="A57" s="78" t="s">
        <v>735</v>
      </c>
      <c r="B57" s="78" t="s">
        <v>718</v>
      </c>
      <c r="C57" s="79" t="s">
        <v>42</v>
      </c>
      <c r="D57" s="79" t="s">
        <v>298</v>
      </c>
      <c r="E57" s="40" t="s">
        <v>2730</v>
      </c>
      <c r="F57" s="74">
        <f t="shared" si="9"/>
        <v>50</v>
      </c>
      <c r="G57" s="74" t="str">
        <f t="shared" si="10"/>
        <v>0</v>
      </c>
      <c r="H57" s="88"/>
      <c r="I57" t="str">
        <f>""""&amp;RIGHT(A57,LEN(A57)-2)&amp;""": {
 ""Name"" : """&amp;RIGHT(A57,LEN(A57)-2)&amp;""",
 ""OV"" : """&amp;B57&amp;""",
 ""Category"": """&amp;E57&amp;""",
 ""Weight"" : "&amp;G57&amp;",
 ""Price"" : "&amp;F57&amp;"
  }"</f>
        <v>"Écurie (par jour)": {
 "Name" : "Écurie (par jour)",
 "OV" : "Stabling",
 "Category": "VEHICLE_RELATIVE",
 "Weight" : 0,
 "Price" : 50
  }</v>
      </c>
    </row>
    <row r="58" spans="1:9">
      <c r="A58" s="80" t="s">
        <v>736</v>
      </c>
      <c r="B58" s="80" t="s">
        <v>719</v>
      </c>
      <c r="C58" s="81" t="s">
        <v>497</v>
      </c>
      <c r="D58" s="81" t="s">
        <v>348</v>
      </c>
      <c r="E58" s="40" t="s">
        <v>2730</v>
      </c>
      <c r="F58" s="74">
        <f t="shared" si="9"/>
        <v>400</v>
      </c>
      <c r="G58" s="74">
        <f t="shared" si="10"/>
        <v>4000</v>
      </c>
      <c r="H58" s="88"/>
      <c r="I58" t="str">
        <f t="shared" ref="I58:I61" si="11">""""&amp;RIGHT(A58,LEN(A58)-2)&amp;""": {
 ""Name"" : """&amp;RIGHT(A58,LEN(A58)-2)&amp;""",
 ""OV"" : """&amp;B58&amp;""",
 ""Category"": """&amp;E58&amp;""",
 ""Weight"" : "&amp;G58&amp;",
 ""Price"" : "&amp;F58&amp;"
  }"</f>
        <v>"Fontes": {
 "Name" : "Fontes",
 "OV" : "Saddlebags",
 "Category": "VEHICLE_RELATIVE",
 "Weight" : 4000,
 "Price" : 400
  }</v>
      </c>
    </row>
    <row r="59" spans="1:9">
      <c r="A59" s="78" t="s">
        <v>737</v>
      </c>
      <c r="B59" s="78" t="s">
        <v>720</v>
      </c>
      <c r="C59" s="79" t="s">
        <v>67</v>
      </c>
      <c r="D59" s="79" t="s">
        <v>53</v>
      </c>
      <c r="E59" s="40" t="s">
        <v>2730</v>
      </c>
      <c r="F59" s="74">
        <f t="shared" si="9"/>
        <v>5</v>
      </c>
      <c r="G59" s="74">
        <f t="shared" si="10"/>
        <v>5000</v>
      </c>
      <c r="H59" s="88"/>
      <c r="I59" t="str">
        <f t="shared" si="11"/>
        <v>"Fourrage (par jour)": {
 "Name" : "Fourrage (par jour)",
 "OV" : "Feed",
 "Category": "VEHICLE_RELATIVE",
 "Weight" : 5000,
 "Price" : 5
  }</v>
      </c>
    </row>
    <row r="60" spans="1:9">
      <c r="A60" s="80" t="s">
        <v>738</v>
      </c>
      <c r="B60" s="80" t="s">
        <v>721</v>
      </c>
      <c r="C60" s="81" t="s">
        <v>29</v>
      </c>
      <c r="D60" s="81" t="s">
        <v>28</v>
      </c>
      <c r="E60" s="40" t="s">
        <v>2730</v>
      </c>
      <c r="F60" s="74">
        <f t="shared" si="9"/>
        <v>200</v>
      </c>
      <c r="G60" s="74" t="str">
        <f t="shared" si="10"/>
        <v>500</v>
      </c>
      <c r="H60" s="88"/>
      <c r="I60" t="str">
        <f t="shared" si="11"/>
        <v>"Mors et bride": {
 "Name" : "Mors et bride",
 "OV" : "Bit and bridle",
 "Category": "VEHICLE_RELATIVE",
 "Weight" : 500,
 "Price" : 200
  }</v>
      </c>
    </row>
    <row r="61" spans="1:9">
      <c r="A61" s="191" t="s">
        <v>739</v>
      </c>
      <c r="B61" s="191" t="s">
        <v>726</v>
      </c>
      <c r="C61" s="192" t="s">
        <v>77</v>
      </c>
      <c r="D61" s="192" t="s">
        <v>727</v>
      </c>
      <c r="E61" s="40" t="s">
        <v>480</v>
      </c>
      <c r="F61" s="74">
        <f t="shared" si="9"/>
        <v>2000</v>
      </c>
      <c r="G61" s="74">
        <f t="shared" si="10"/>
        <v>150000</v>
      </c>
      <c r="H61" s="88"/>
      <c r="I61" t="str">
        <f t="shared" si="11"/>
        <v>"Traîneau": {
 "Name" : "Traîneau",
 "OV" : "Sled",
 "Category": "VEHICLE",
 "Weight" : 150000,
 "Price" : 2000
  }</v>
      </c>
    </row>
    <row r="62" spans="1:9">
      <c r="A62" s="88" t="s">
        <v>684</v>
      </c>
      <c r="B62" s="88" t="s">
        <v>2956</v>
      </c>
      <c r="C62" s="88"/>
      <c r="D62" s="88"/>
      <c r="E62" s="88" t="s">
        <v>705</v>
      </c>
      <c r="F62" s="74"/>
      <c r="G62" s="74"/>
      <c r="H62" s="88" t="str">
        <f t="shared" ref="H62" si="12">""""&amp;E62&amp;""":  {""Code"": """&amp;E62&amp;""", ""Name"": """&amp;A62&amp;""", ""OV"": """&amp;B62&amp;"""}"</f>
        <v>"VARIOUS":  {"Code": "VARIOUS", "Name": "Divers", "OV": "Various"}</v>
      </c>
    </row>
    <row r="63" spans="1:9">
      <c r="A63" s="88" t="s">
        <v>2958</v>
      </c>
      <c r="B63" s="88" t="s">
        <v>2957</v>
      </c>
      <c r="C63" s="88"/>
      <c r="D63" s="88"/>
      <c r="E63" s="88" t="s">
        <v>2959</v>
      </c>
      <c r="F63" s="74"/>
      <c r="G63" s="74"/>
      <c r="H63" s="88" t="str">
        <f>""""&amp;E63&amp;""":  {""Code"": """&amp;E63&amp;""", ""Name"": """&amp;A63&amp;""", ""OV"": """&amp;B63&amp;"""}"</f>
        <v>"EQUIPMENT":  {"Code": "EQUIPMENT", "Name": "Equipement", "OV": "Equipment"}</v>
      </c>
    </row>
    <row r="64" spans="1:9">
      <c r="A64" s="88" t="s">
        <v>4075</v>
      </c>
      <c r="B64" s="88" t="s">
        <v>1052</v>
      </c>
      <c r="C64" s="88"/>
      <c r="D64" s="88"/>
      <c r="E64" s="88" t="s">
        <v>4076</v>
      </c>
      <c r="F64" s="74"/>
      <c r="G64" s="74"/>
      <c r="H64" s="88" t="str">
        <f>""""&amp;E64&amp;""":  {""Code"": """&amp;E64&amp;""", ""Name"": """&amp;A64&amp;""", ""OV"": """&amp;B64&amp;"""}"</f>
        <v>"WARES":  {"Code": "WARES", "Name": "Marchandises", "OV": "Wares"}</v>
      </c>
    </row>
    <row r="65" spans="1:9">
      <c r="A65" s="80" t="s">
        <v>791</v>
      </c>
      <c r="C65" s="81" t="s">
        <v>505</v>
      </c>
      <c r="D65" t="s">
        <v>298</v>
      </c>
      <c r="E65" s="40" t="s">
        <v>4076</v>
      </c>
      <c r="F65" s="74">
        <f t="shared" ref="F65:F77" si="13">LEFT(C65,LEN(C65)-3)*IF(RIGHT(C65,2)="po",100,IF(RIGHT(C65,2)="pa",10,1))</f>
        <v>1</v>
      </c>
      <c r="G65" s="74" t="str">
        <f t="shared" ref="G65:G77" si="14">IF(RIGHT(D65,2)="kg",LEFT(D65,LEN(D65)-3)*1000,LEFT(D65,LEN(D65)-2))</f>
        <v>0</v>
      </c>
      <c r="I65" t="str">
        <f>""""&amp;A65&amp;""": {
 ""Name"" : """&amp;A65&amp;""",
 ""OV"" : """&amp;B65&amp;""",
 ""Category"": """&amp;E65&amp;""",
 ""Weight"" : "&amp;G65&amp;",
 ""Price"" : "&amp;F65&amp;"
  }"</f>
        <v>"500 g de blé": {
 "Name" : "500 g de blé",
 "OV" : "",
 "Category": "WARES",
 "Weight" : 0,
 "Price" : 1
  }</v>
      </c>
    </row>
    <row r="66" spans="1:9">
      <c r="A66" s="78" t="s">
        <v>792</v>
      </c>
      <c r="C66" s="79" t="s">
        <v>537</v>
      </c>
      <c r="D66" t="s">
        <v>298</v>
      </c>
      <c r="E66" s="40" t="s">
        <v>4076</v>
      </c>
      <c r="F66" s="74">
        <f t="shared" si="13"/>
        <v>2</v>
      </c>
      <c r="G66" s="74" t="str">
        <f t="shared" si="14"/>
        <v>0</v>
      </c>
      <c r="I66" t="str">
        <f t="shared" ref="I66:I77" si="15">""""&amp;A66&amp;""": {
 ""Name"" : """&amp;A66&amp;""",
 ""OV"" : """&amp;B66&amp;""",
 ""Category"": """&amp;E66&amp;""",
 ""Weight"" : "&amp;G66&amp;",
 ""Price"" : "&amp;F66&amp;"
  }"</f>
        <v>"500 g de farine ou 1 poulet": {
 "Name" : "500 g de farine ou 1 poulet",
 "OV" : "",
 "Category": "WARES",
 "Weight" : 0,
 "Price" : 2
  }</v>
      </c>
    </row>
    <row r="67" spans="1:9">
      <c r="A67" s="80" t="s">
        <v>793</v>
      </c>
      <c r="C67" s="81" t="s">
        <v>67</v>
      </c>
      <c r="D67" t="s">
        <v>298</v>
      </c>
      <c r="E67" s="40" t="s">
        <v>4076</v>
      </c>
      <c r="F67" s="74">
        <f t="shared" si="13"/>
        <v>5</v>
      </c>
      <c r="G67" s="74" t="str">
        <f t="shared" si="14"/>
        <v>0</v>
      </c>
      <c r="I67" t="str">
        <f t="shared" si="15"/>
        <v>"500 g de sel": {
 "Name" : "500 g de sel",
 "OV" : "",
 "Category": "WARES",
 "Weight" : 0,
 "Price" : 5
  }</v>
      </c>
    </row>
    <row r="68" spans="1:9">
      <c r="A68" s="78" t="s">
        <v>794</v>
      </c>
      <c r="C68" s="79" t="s">
        <v>34</v>
      </c>
      <c r="D68" t="s">
        <v>298</v>
      </c>
      <c r="E68" s="40" t="s">
        <v>4076</v>
      </c>
      <c r="F68" s="74">
        <f t="shared" si="13"/>
        <v>10</v>
      </c>
      <c r="G68" s="74" t="str">
        <f t="shared" si="14"/>
        <v>0</v>
      </c>
      <c r="I68" t="str">
        <f t="shared" si="15"/>
        <v>"500 g de fer ou 1 m² de toile": {
 "Name" : "500 g de fer ou 1 m² de toile",
 "OV" : "",
 "Category": "WARES",
 "Weight" : 0,
 "Price" : 10
  }</v>
      </c>
    </row>
    <row r="69" spans="1:9" ht="25.5">
      <c r="A69" s="80" t="s">
        <v>795</v>
      </c>
      <c r="C69" s="81" t="s">
        <v>42</v>
      </c>
      <c r="D69" t="s">
        <v>298</v>
      </c>
      <c r="E69" s="40" t="s">
        <v>4076</v>
      </c>
      <c r="F69" s="74">
        <f t="shared" si="13"/>
        <v>50</v>
      </c>
      <c r="G69" s="74" t="str">
        <f t="shared" si="14"/>
        <v>0</v>
      </c>
      <c r="I69" t="str">
        <f t="shared" si="15"/>
        <v>"500 g de cuivre ou 1 m² de tissu en coton": {
 "Name" : "500 g de cuivre ou 1 m² de tissu en coton",
 "OV" : "",
 "Category": "WARES",
 "Weight" : 0,
 "Price" : 50
  }</v>
      </c>
    </row>
    <row r="70" spans="1:9" ht="25.5">
      <c r="A70" s="78" t="s">
        <v>796</v>
      </c>
      <c r="C70" s="79" t="s">
        <v>46</v>
      </c>
      <c r="D70" t="s">
        <v>298</v>
      </c>
      <c r="E70" s="40" t="s">
        <v>4076</v>
      </c>
      <c r="F70" s="74">
        <f t="shared" si="13"/>
        <v>100</v>
      </c>
      <c r="G70" s="74" t="str">
        <f t="shared" si="14"/>
        <v>0</v>
      </c>
      <c r="I70" t="str">
        <f t="shared" si="15"/>
        <v>"500 g de gingembre ou 1 chèvre": {
 "Name" : "500 g de gingembre ou 1 chèvre",
 "OV" : "",
 "Category": "WARES",
 "Weight" : 0,
 "Price" : 100
  }</v>
      </c>
    </row>
    <row r="71" spans="1:9" ht="25.5">
      <c r="A71" s="80" t="s">
        <v>797</v>
      </c>
      <c r="C71" s="81" t="s">
        <v>29</v>
      </c>
      <c r="D71" t="s">
        <v>298</v>
      </c>
      <c r="E71" s="40" t="s">
        <v>4076</v>
      </c>
      <c r="F71" s="74">
        <f t="shared" si="13"/>
        <v>200</v>
      </c>
      <c r="G71" s="74" t="str">
        <f t="shared" si="14"/>
        <v>0</v>
      </c>
      <c r="I71" t="str">
        <f t="shared" si="15"/>
        <v>"500 g de cannelle ou de poivre, ou 1 mouton": {
 "Name" : "500 g de cannelle ou de poivre, ou 1 mouton",
 "OV" : "",
 "Category": "WARES",
 "Weight" : 0,
 "Price" : 200
  }</v>
      </c>
    </row>
    <row r="72" spans="1:9" ht="25.5">
      <c r="A72" s="78" t="s">
        <v>798</v>
      </c>
      <c r="C72" s="79" t="s">
        <v>396</v>
      </c>
      <c r="D72" t="s">
        <v>298</v>
      </c>
      <c r="E72" s="40" t="s">
        <v>4076</v>
      </c>
      <c r="F72" s="74">
        <f t="shared" si="13"/>
        <v>300</v>
      </c>
      <c r="G72" s="74" t="str">
        <f t="shared" si="14"/>
        <v>0</v>
      </c>
      <c r="I72" t="str">
        <f t="shared" si="15"/>
        <v>"500 g de clous de girofle ou 1 cochon": {
 "Name" : "500 g de clous de girofle ou 1 cochon",
 "OV" : "",
 "Category": "WARES",
 "Weight" : 0,
 "Price" : 300
  }</v>
      </c>
    </row>
    <row r="73" spans="1:9">
      <c r="A73" s="80" t="s">
        <v>799</v>
      </c>
      <c r="C73" s="81" t="s">
        <v>38</v>
      </c>
      <c r="D73" t="s">
        <v>298</v>
      </c>
      <c r="E73" s="40" t="s">
        <v>4076</v>
      </c>
      <c r="F73" s="74">
        <f t="shared" si="13"/>
        <v>500</v>
      </c>
      <c r="G73" s="74" t="str">
        <f t="shared" si="14"/>
        <v>0</v>
      </c>
      <c r="I73" t="str">
        <f t="shared" si="15"/>
        <v>"500 g d'argent ou 1 m² de lin": {
 "Name" : "500 g d'argent ou 1 m² de lin",
 "OV" : "",
 "Category": "WARES",
 "Weight" : 0,
 "Price" : 500
  }</v>
      </c>
    </row>
    <row r="74" spans="1:9">
      <c r="A74" s="78" t="s">
        <v>800</v>
      </c>
      <c r="C74" s="79" t="s">
        <v>84</v>
      </c>
      <c r="D74" t="s">
        <v>298</v>
      </c>
      <c r="E74" s="40" t="s">
        <v>4076</v>
      </c>
      <c r="F74" s="74">
        <f t="shared" si="13"/>
        <v>1000</v>
      </c>
      <c r="G74" s="74" t="str">
        <f t="shared" si="14"/>
        <v>0</v>
      </c>
      <c r="I74" t="str">
        <f t="shared" si="15"/>
        <v>"1 m² de soie ou 1 vache": {
 "Name" : "1 m² de soie ou 1 vache",
 "OV" : "",
 "Category": "WARES",
 "Weight" : 0,
 "Price" : 1000
  }</v>
      </c>
    </row>
    <row r="75" spans="1:9">
      <c r="A75" s="80" t="s">
        <v>801</v>
      </c>
      <c r="C75" s="81" t="s">
        <v>87</v>
      </c>
      <c r="D75" t="s">
        <v>298</v>
      </c>
      <c r="E75" s="40" t="s">
        <v>4076</v>
      </c>
      <c r="F75" s="74">
        <f t="shared" si="13"/>
        <v>1500</v>
      </c>
      <c r="G75" s="74" t="str">
        <f t="shared" si="14"/>
        <v>0</v>
      </c>
      <c r="I75" t="str">
        <f t="shared" si="15"/>
        <v>"500 g de safran ou 1 boeuf": {
 "Name" : "500 g de safran ou 1 boeuf",
 "OV" : "",
 "Category": "WARES",
 "Weight" : 0,
 "Price" : 1500
  }</v>
      </c>
    </row>
    <row r="76" spans="1:9">
      <c r="A76" s="78" t="s">
        <v>802</v>
      </c>
      <c r="C76" s="79" t="s">
        <v>81</v>
      </c>
      <c r="D76" t="s">
        <v>298</v>
      </c>
      <c r="E76" s="40" t="s">
        <v>4076</v>
      </c>
      <c r="F76" s="74">
        <f t="shared" si="13"/>
        <v>5000</v>
      </c>
      <c r="G76" s="74" t="str">
        <f t="shared" si="14"/>
        <v>0</v>
      </c>
      <c r="I76" t="str">
        <f t="shared" si="15"/>
        <v>"500 g d'or": {
 "Name" : "500 g d'or",
 "OV" : "",
 "Category": "WARES",
 "Weight" : 0,
 "Price" : 5000
  }</v>
      </c>
    </row>
    <row r="77" spans="1:9">
      <c r="A77" s="80" t="s">
        <v>804</v>
      </c>
      <c r="C77" s="81" t="s">
        <v>803</v>
      </c>
      <c r="D77" t="s">
        <v>298</v>
      </c>
      <c r="E77" s="40" t="s">
        <v>4076</v>
      </c>
      <c r="F77" s="74">
        <f t="shared" si="13"/>
        <v>50000</v>
      </c>
      <c r="G77" s="74" t="str">
        <f t="shared" si="14"/>
        <v>0</v>
      </c>
      <c r="I77" t="str">
        <f t="shared" si="15"/>
        <v>"500 g de platine": {
 "Name" : "500 g de platine",
 "OV" : "",
 "Category": "WARES",
 "Weight" : 0,
 "Price" : 50000
  }</v>
      </c>
    </row>
    <row r="78" spans="1:9">
      <c r="A78" s="88" t="s">
        <v>4078</v>
      </c>
      <c r="B78" s="88" t="s">
        <v>1055</v>
      </c>
      <c r="C78" s="88"/>
      <c r="D78" s="88"/>
      <c r="E78" s="88" t="s">
        <v>4079</v>
      </c>
      <c r="F78" s="74"/>
      <c r="G78" s="74"/>
      <c r="H78" s="88" t="str">
        <f>""""&amp;E78&amp;""":  {""Code"": """&amp;E78&amp;""", ""Name"": """&amp;A78&amp;""", ""OV"": """&amp;B78&amp;"""}"</f>
        <v>"TRINKETS":  {"Code": "TRINKETS", "Name": "Babioles", "OV": "Trinkets"}</v>
      </c>
    </row>
    <row r="79" spans="1:9">
      <c r="A79" s="294" t="s">
        <v>851</v>
      </c>
      <c r="C79" t="s">
        <v>4077</v>
      </c>
      <c r="D79" t="s">
        <v>298</v>
      </c>
      <c r="E79" s="40" t="s">
        <v>4079</v>
      </c>
      <c r="F79" s="74">
        <f t="shared" ref="F79" si="16">LEFT(C79,LEN(C79)-3)*IF(RIGHT(C79,2)="po",100,IF(RIGHT(C79,2)="pa",10,1))</f>
        <v>0</v>
      </c>
      <c r="G79" s="74" t="str">
        <f t="shared" ref="G79" si="17">IF(RIGHT(D79,2)="kg",LEFT(D79,LEN(D79)-3)*1000,LEFT(D79,LEN(D79)-2))</f>
        <v>0</v>
      </c>
      <c r="I79" t="str">
        <f>""""&amp;A79&amp;""": {
 ""Name"" : """&amp;A79&amp;""",
 ""OV"" : """&amp;B79&amp;""",
 ""Category"": """&amp;E79&amp;""",
 ""Weight"" : "&amp;G79&amp;",
 ""Price"" : "&amp;F79&amp;"
  }"</f>
        <v>"Une main de gobelin momifiée": {
 "Name" : "Une main de gobelin momifiée",
 "OV" : "",
 "Category": "TRINKETS",
 "Weight" : 0,
 "Price" : 0
  }</v>
      </c>
    </row>
    <row r="80" spans="1:9">
      <c r="A80" s="295" t="s">
        <v>852</v>
      </c>
      <c r="C80" t="s">
        <v>4077</v>
      </c>
      <c r="D80" t="s">
        <v>298</v>
      </c>
      <c r="E80" s="40" t="s">
        <v>4079</v>
      </c>
      <c r="F80" s="74">
        <f t="shared" ref="F80:F143" si="18">LEFT(C80,LEN(C80)-3)*IF(RIGHT(C80,2)="po",100,IF(RIGHT(C80,2)="pa",10,1))</f>
        <v>0</v>
      </c>
      <c r="G80" s="74" t="str">
        <f t="shared" ref="G80:G143" si="19">IF(RIGHT(D80,2)="kg",LEFT(D80,LEN(D80)-3)*1000,LEFT(D80,LEN(D80)-2))</f>
        <v>0</v>
      </c>
      <c r="I80" t="str">
        <f t="shared" ref="I80:I143" si="20">""""&amp;A80&amp;""": {
 ""Name"" : """&amp;A80&amp;""",
 ""OV"" : """&amp;B80&amp;""",
 ""Category"": """&amp;E80&amp;""",
 ""Weight"" : "&amp;G80&amp;",
 ""Price"" : "&amp;F80&amp;"
  }"</f>
        <v>"Un morceau de cristal qui brille faiblement au clair de lune": {
 "Name" : "Un morceau de cristal qui brille faiblement au clair de lune",
 "OV" : "",
 "Category": "TRINKETS",
 "Weight" : 0,
 "Price" : 0
  }</v>
      </c>
    </row>
    <row r="81" spans="1:9">
      <c r="A81" s="294" t="s">
        <v>853</v>
      </c>
      <c r="C81" t="s">
        <v>4077</v>
      </c>
      <c r="D81" t="s">
        <v>298</v>
      </c>
      <c r="E81" s="40" t="s">
        <v>4079</v>
      </c>
      <c r="F81" s="74">
        <f t="shared" si="18"/>
        <v>0</v>
      </c>
      <c r="G81" s="74" t="str">
        <f t="shared" si="19"/>
        <v>0</v>
      </c>
      <c r="I81" t="str">
        <f t="shared" si="20"/>
        <v>"Une pièce d'or d'une terre inconnue": {
 "Name" : "Une pièce d'or d'une terre inconnue",
 "OV" : "",
 "Category": "TRINKETS",
 "Weight" : 0,
 "Price" : 0
  }</v>
      </c>
    </row>
    <row r="82" spans="1:9">
      <c r="A82" s="295" t="s">
        <v>854</v>
      </c>
      <c r="C82" t="s">
        <v>4077</v>
      </c>
      <c r="D82" t="s">
        <v>298</v>
      </c>
      <c r="E82" s="40" t="s">
        <v>4079</v>
      </c>
      <c r="F82" s="74">
        <f t="shared" si="18"/>
        <v>0</v>
      </c>
      <c r="G82" s="74" t="str">
        <f t="shared" si="19"/>
        <v>0</v>
      </c>
      <c r="I82" t="str">
        <f t="shared" si="20"/>
        <v>"Un journal écrit dans une langue que vous ne connaissez pas": {
 "Name" : "Un journal écrit dans une langue que vous ne connaissez pas",
 "OV" : "",
 "Category": "TRINKETS",
 "Weight" : 0,
 "Price" : 0
  }</v>
      </c>
    </row>
    <row r="83" spans="1:9">
      <c r="A83" s="294" t="s">
        <v>855</v>
      </c>
      <c r="C83" t="s">
        <v>4077</v>
      </c>
      <c r="D83" t="s">
        <v>298</v>
      </c>
      <c r="E83" s="40" t="s">
        <v>4079</v>
      </c>
      <c r="F83" s="74">
        <f t="shared" si="18"/>
        <v>0</v>
      </c>
      <c r="G83" s="74" t="str">
        <f t="shared" si="19"/>
        <v>0</v>
      </c>
      <c r="I83" t="str">
        <f t="shared" si="20"/>
        <v>"Un anneau de cuivre qui ne ternit pas": {
 "Name" : "Un anneau de cuivre qui ne ternit pas",
 "OV" : "",
 "Category": "TRINKETS",
 "Weight" : 0,
 "Price" : 0
  }</v>
      </c>
    </row>
    <row r="84" spans="1:9">
      <c r="A84" s="295" t="s">
        <v>856</v>
      </c>
      <c r="C84" t="s">
        <v>4077</v>
      </c>
      <c r="D84" t="s">
        <v>298</v>
      </c>
      <c r="E84" s="40" t="s">
        <v>4079</v>
      </c>
      <c r="F84" s="74">
        <f t="shared" si="18"/>
        <v>0</v>
      </c>
      <c r="G84" s="74" t="str">
        <f t="shared" si="19"/>
        <v>0</v>
      </c>
      <c r="I84" t="str">
        <f t="shared" si="20"/>
        <v>"Une vieille pièce d'échecs en verre": {
 "Name" : "Une vieille pièce d'échecs en verre",
 "OV" : "",
 "Category": "TRINKETS",
 "Weight" : 0,
 "Price" : 0
  }</v>
      </c>
    </row>
    <row r="85" spans="1:9">
      <c r="A85" s="294" t="s">
        <v>857</v>
      </c>
      <c r="C85" t="s">
        <v>4077</v>
      </c>
      <c r="D85" t="s">
        <v>298</v>
      </c>
      <c r="E85" s="40" t="s">
        <v>4079</v>
      </c>
      <c r="F85" s="74">
        <f t="shared" si="18"/>
        <v>0</v>
      </c>
      <c r="G85" s="74" t="str">
        <f t="shared" si="19"/>
        <v>0</v>
      </c>
      <c r="I85" t="str">
        <f t="shared" si="20"/>
        <v>"Une paire de dés en osselet, chacun portant le symbole d'un crâne sur la face qui montrerait normalement le 6": {
 "Name" : "Une paire de dés en osselet, chacun portant le symbole d'un crâne sur la face qui montrerait normalement le 6",
 "OV" : "",
 "Category": "TRINKETS",
 "Weight" : 0,
 "Price" : 0
  }</v>
      </c>
    </row>
    <row r="86" spans="1:9">
      <c r="A86" s="295" t="s">
        <v>858</v>
      </c>
      <c r="C86" t="s">
        <v>4077</v>
      </c>
      <c r="D86" t="s">
        <v>298</v>
      </c>
      <c r="E86" s="40" t="s">
        <v>4079</v>
      </c>
      <c r="F86" s="74">
        <f t="shared" si="18"/>
        <v>0</v>
      </c>
      <c r="G86" s="74" t="str">
        <f t="shared" si="19"/>
        <v>0</v>
      </c>
      <c r="I86" t="str">
        <f t="shared" si="20"/>
        <v>"Une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v>
      </c>
    </row>
    <row r="87" spans="1:9">
      <c r="A87" s="294" t="s">
        <v>859</v>
      </c>
      <c r="C87" t="s">
        <v>4077</v>
      </c>
      <c r="D87" t="s">
        <v>298</v>
      </c>
      <c r="E87" s="40" t="s">
        <v>4079</v>
      </c>
      <c r="F87" s="74">
        <f t="shared" si="18"/>
        <v>0</v>
      </c>
      <c r="G87" s="74" t="str">
        <f t="shared" si="19"/>
        <v>0</v>
      </c>
      <c r="I87" t="str">
        <f t="shared" si="20"/>
        <v>"Un collier en corde duquel pendent quatre doigts elfes momifiés": {
 "Name" : "Un collier en corde duquel pendent quatre doigts elfes momifiés",
 "OV" : "",
 "Category": "TRINKETS",
 "Weight" : 0,
 "Price" : 0
  }</v>
      </c>
    </row>
    <row r="88" spans="1:9">
      <c r="A88" s="295" t="s">
        <v>860</v>
      </c>
      <c r="C88" t="s">
        <v>4077</v>
      </c>
      <c r="D88" t="s">
        <v>298</v>
      </c>
      <c r="E88" s="40" t="s">
        <v>4079</v>
      </c>
      <c r="F88" s="74">
        <f t="shared" si="18"/>
        <v>0</v>
      </c>
      <c r="G88" s="74" t="str">
        <f t="shared" si="19"/>
        <v>0</v>
      </c>
      <c r="I88" t="str">
        <f t="shared" si="20"/>
        <v>"L'acte d'une parcelle de terrain d'un domaine que vous ne connaissez pas": {
 "Name" : "L'acte d'une parcelle de terrain d'un domaine que vous ne connaissez pas",
 "OV" : "",
 "Category": "TRINKETS",
 "Weight" : 0,
 "Price" : 0
  }</v>
      </c>
    </row>
    <row r="89" spans="1:9">
      <c r="A89" s="294" t="s">
        <v>861</v>
      </c>
      <c r="C89" t="s">
        <v>4077</v>
      </c>
      <c r="D89" t="s">
        <v>298</v>
      </c>
      <c r="E89" s="40" t="s">
        <v>4079</v>
      </c>
      <c r="F89" s="74">
        <f t="shared" si="18"/>
        <v>0</v>
      </c>
      <c r="G89" s="74" t="str">
        <f t="shared" si="19"/>
        <v>0</v>
      </c>
      <c r="I89" t="str">
        <f t="shared" si="20"/>
        <v>"Un bloc de 30 grammes d'un matériau inconnu": {
 "Name" : "Un bloc de 30 grammes d'un matériau inconnu",
 "OV" : "",
 "Category": "TRINKETS",
 "Weight" : 0,
 "Price" : 0
  }</v>
      </c>
    </row>
    <row r="90" spans="1:9">
      <c r="A90" s="295" t="s">
        <v>862</v>
      </c>
      <c r="C90" t="s">
        <v>4077</v>
      </c>
      <c r="D90" t="s">
        <v>298</v>
      </c>
      <c r="E90" s="40" t="s">
        <v>4079</v>
      </c>
      <c r="F90" s="74">
        <f t="shared" si="18"/>
        <v>0</v>
      </c>
      <c r="G90" s="74" t="str">
        <f t="shared" si="19"/>
        <v>0</v>
      </c>
      <c r="I90" t="str">
        <f t="shared" si="20"/>
        <v>"Une petite poupée de chiffon piquée avec des aiguilles": {
 "Name" : "Une petite poupée de chiffon piquée avec des aiguilles",
 "OV" : "",
 "Category": "TRINKETS",
 "Weight" : 0,
 "Price" : 0
  }</v>
      </c>
    </row>
    <row r="91" spans="1:9">
      <c r="A91" s="294" t="s">
        <v>863</v>
      </c>
      <c r="C91" t="s">
        <v>4077</v>
      </c>
      <c r="D91" t="s">
        <v>298</v>
      </c>
      <c r="E91" s="40" t="s">
        <v>4079</v>
      </c>
      <c r="F91" s="74">
        <f t="shared" si="18"/>
        <v>0</v>
      </c>
      <c r="G91" s="74" t="str">
        <f t="shared" si="19"/>
        <v>0</v>
      </c>
      <c r="I91" t="str">
        <f t="shared" si="20"/>
        <v>"Une dent d'une bête inconnue": {
 "Name" : "Une dent d'une bête inconnue",
 "OV" : "",
 "Category": "TRINKETS",
 "Weight" : 0,
 "Price" : 0
  }</v>
      </c>
    </row>
    <row r="92" spans="1:9">
      <c r="A92" s="295" t="s">
        <v>864</v>
      </c>
      <c r="C92" t="s">
        <v>4077</v>
      </c>
      <c r="D92" t="s">
        <v>298</v>
      </c>
      <c r="E92" s="40" t="s">
        <v>4079</v>
      </c>
      <c r="F92" s="74">
        <f t="shared" si="18"/>
        <v>0</v>
      </c>
      <c r="G92" s="74" t="str">
        <f t="shared" si="19"/>
        <v>0</v>
      </c>
      <c r="I92" t="str">
        <f t="shared" si="20"/>
        <v>"Une énorme écaille, peut-être d'un dragon": {
 "Name" : "Une énorme écaille, peut-être d'un dragon",
 "OV" : "",
 "Category": "TRINKETS",
 "Weight" : 0,
 "Price" : 0
  }</v>
      </c>
    </row>
    <row r="93" spans="1:9">
      <c r="A93" s="294" t="s">
        <v>865</v>
      </c>
      <c r="C93" t="s">
        <v>4077</v>
      </c>
      <c r="D93" t="s">
        <v>298</v>
      </c>
      <c r="E93" s="40" t="s">
        <v>4079</v>
      </c>
      <c r="F93" s="74">
        <f t="shared" si="18"/>
        <v>0</v>
      </c>
      <c r="G93" s="74" t="str">
        <f t="shared" si="19"/>
        <v>0</v>
      </c>
      <c r="I93" t="str">
        <f t="shared" si="20"/>
        <v>"Une plume vert clair": {
 "Name" : "Une plume vert clair",
 "OV" : "",
 "Category": "TRINKETS",
 "Weight" : 0,
 "Price" : 0
  }</v>
      </c>
    </row>
    <row r="94" spans="1:9">
      <c r="A94" s="295" t="s">
        <v>866</v>
      </c>
      <c r="C94" t="s">
        <v>4077</v>
      </c>
      <c r="D94" t="s">
        <v>298</v>
      </c>
      <c r="E94" s="40" t="s">
        <v>4079</v>
      </c>
      <c r="F94" s="74">
        <f t="shared" si="18"/>
        <v>0</v>
      </c>
      <c r="G94" s="74" t="str">
        <f t="shared" si="19"/>
        <v>0</v>
      </c>
      <c r="I94" t="str">
        <f t="shared" si="20"/>
        <v>"Une vieille carte de divination portant votre portrait": {
 "Name" : "Une vieille carte de divination portant votre portrait",
 "OV" : "",
 "Category": "TRINKETS",
 "Weight" : 0,
 "Price" : 0
  }</v>
      </c>
    </row>
    <row r="95" spans="1:9">
      <c r="A95" s="294" t="s">
        <v>867</v>
      </c>
      <c r="C95" t="s">
        <v>4077</v>
      </c>
      <c r="D95" t="s">
        <v>298</v>
      </c>
      <c r="E95" s="40" t="s">
        <v>4079</v>
      </c>
      <c r="F95" s="74">
        <f t="shared" si="18"/>
        <v>0</v>
      </c>
      <c r="G95" s="74" t="str">
        <f t="shared" si="19"/>
        <v>0</v>
      </c>
      <c r="I95" t="str">
        <f t="shared" si="20"/>
        <v>"Un orbe en verre rempli de fumée qui se déplace": {
 "Name" : "Un orbe en verre rempli de fumée qui se déplace",
 "OV" : "",
 "Category": "TRINKETS",
 "Weight" : 0,
 "Price" : 0
  }</v>
      </c>
    </row>
    <row r="96" spans="1:9">
      <c r="A96" s="295" t="s">
        <v>868</v>
      </c>
      <c r="C96" t="s">
        <v>4077</v>
      </c>
      <c r="D96" t="s">
        <v>298</v>
      </c>
      <c r="E96" s="40" t="s">
        <v>4079</v>
      </c>
      <c r="F96" s="74">
        <f t="shared" si="18"/>
        <v>0</v>
      </c>
      <c r="G96" s="74" t="str">
        <f t="shared" si="19"/>
        <v>0</v>
      </c>
      <c r="I96" t="str">
        <f t="shared" si="20"/>
        <v>"Un oeuf de 30 grammes avec une coque rouge vif": {
 "Name" : "Un oeuf de 30 grammes avec une coque rouge vif",
 "OV" : "",
 "Category": "TRINKETS",
 "Weight" : 0,
 "Price" : 0
  }</v>
      </c>
    </row>
    <row r="97" spans="1:9">
      <c r="A97" s="294" t="s">
        <v>869</v>
      </c>
      <c r="C97" t="s">
        <v>4077</v>
      </c>
      <c r="D97" t="s">
        <v>298</v>
      </c>
      <c r="E97" s="40" t="s">
        <v>4079</v>
      </c>
      <c r="F97" s="74">
        <f t="shared" si="18"/>
        <v>0</v>
      </c>
      <c r="G97" s="74" t="str">
        <f t="shared" si="19"/>
        <v>0</v>
      </c>
      <c r="I97" t="str">
        <f t="shared" si="20"/>
        <v>"Une pipe qui fait des bulles": {
 "Name" : "Une pipe qui fait des bulles",
 "OV" : "",
 "Category": "TRINKETS",
 "Weight" : 0,
 "Price" : 0
  }</v>
      </c>
    </row>
    <row r="98" spans="1:9">
      <c r="A98" s="295" t="s">
        <v>870</v>
      </c>
      <c r="C98" t="s">
        <v>4077</v>
      </c>
      <c r="D98" t="s">
        <v>298</v>
      </c>
      <c r="E98" s="40" t="s">
        <v>4079</v>
      </c>
      <c r="F98" s="74">
        <f t="shared" si="18"/>
        <v>0</v>
      </c>
      <c r="G98" s="74" t="str">
        <f t="shared" si="19"/>
        <v>0</v>
      </c>
      <c r="I98" t="str">
        <f t="shared" si="20"/>
        <v>"Un pot en verre contenant un morceau de chair bizarre qui flotte dans un liquide salé": {
 "Name" : "Un pot en verre contenant un morceau de chair bizarre qui flotte dans un liquide salé",
 "OV" : "",
 "Category": "TRINKETS",
 "Weight" : 0,
 "Price" : 0
  }</v>
      </c>
    </row>
    <row r="99" spans="1:9">
      <c r="A99" s="294" t="s">
        <v>871</v>
      </c>
      <c r="C99" t="s">
        <v>4077</v>
      </c>
      <c r="D99" t="s">
        <v>298</v>
      </c>
      <c r="E99" s="40" t="s">
        <v>4079</v>
      </c>
      <c r="F99" s="74">
        <f t="shared" si="18"/>
        <v>0</v>
      </c>
      <c r="G99" s="74" t="str">
        <f t="shared" si="19"/>
        <v>0</v>
      </c>
      <c r="I99" t="str">
        <f t="shared" si="20"/>
        <v>"Une petite boîte à musique de gnome qui joue une chanson qui vous rappelle vaguement votre enfance": {
 "Name" : "Une petite boîte à musique de gnome qui joue une chanson qui vous rappelle vaguement votre enfance",
 "OV" : "",
 "Category": "TRINKETS",
 "Weight" : 0,
 "Price" : 0
  }</v>
      </c>
    </row>
    <row r="100" spans="1:9">
      <c r="A100" s="295" t="s">
        <v>872</v>
      </c>
      <c r="C100" t="s">
        <v>4077</v>
      </c>
      <c r="D100" t="s">
        <v>298</v>
      </c>
      <c r="E100" s="40" t="s">
        <v>4079</v>
      </c>
      <c r="F100" s="74">
        <f t="shared" si="18"/>
        <v>0</v>
      </c>
      <c r="G100" s="74" t="str">
        <f t="shared" si="19"/>
        <v>0</v>
      </c>
      <c r="I100" t="str">
        <f t="shared" si="20"/>
        <v>"Une petite statuette en bois d'un halfelin béat": {
 "Name" : "Une petite statuette en bois d'un halfelin béat",
 "OV" : "",
 "Category": "TRINKETS",
 "Weight" : 0,
 "Price" : 0
  }</v>
      </c>
    </row>
    <row r="101" spans="1:9">
      <c r="A101" s="294" t="s">
        <v>873</v>
      </c>
      <c r="C101" t="s">
        <v>4077</v>
      </c>
      <c r="D101" t="s">
        <v>298</v>
      </c>
      <c r="E101" s="40" t="s">
        <v>4079</v>
      </c>
      <c r="F101" s="74">
        <f t="shared" si="18"/>
        <v>0</v>
      </c>
      <c r="G101" s="74" t="str">
        <f t="shared" si="19"/>
        <v>0</v>
      </c>
      <c r="I101" t="str">
        <f t="shared" si="20"/>
        <v>"Un orbe en cuivre gravé de runes étranges": {
 "Name" : "Un orbe en cuivre gravé de runes étranges",
 "OV" : "",
 "Category": "TRINKETS",
 "Weight" : 0,
 "Price" : 0
  }</v>
      </c>
    </row>
    <row r="102" spans="1:9">
      <c r="A102" s="295" t="s">
        <v>874</v>
      </c>
      <c r="C102" t="s">
        <v>4077</v>
      </c>
      <c r="D102" t="s">
        <v>298</v>
      </c>
      <c r="E102" s="40" t="s">
        <v>4079</v>
      </c>
      <c r="F102" s="74">
        <f t="shared" si="18"/>
        <v>0</v>
      </c>
      <c r="G102" s="74" t="str">
        <f t="shared" si="19"/>
        <v>0</v>
      </c>
      <c r="I102" t="str">
        <f t="shared" si="20"/>
        <v>"Un disque de pierre multicolore": {
 "Name" : "Un disque de pierre multicolore",
 "OV" : "",
 "Category": "TRINKETS",
 "Weight" : 0,
 "Price" : 0
  }</v>
      </c>
    </row>
    <row r="103" spans="1:9">
      <c r="A103" s="294" t="s">
        <v>875</v>
      </c>
      <c r="C103" t="s">
        <v>4077</v>
      </c>
      <c r="D103" t="s">
        <v>298</v>
      </c>
      <c r="E103" s="40" t="s">
        <v>4079</v>
      </c>
      <c r="F103" s="74">
        <f t="shared" si="18"/>
        <v>0</v>
      </c>
      <c r="G103" s="74" t="str">
        <f t="shared" si="19"/>
        <v>0</v>
      </c>
      <c r="I103" t="str">
        <f t="shared" si="20"/>
        <v>"Une petite icône d'argent représentant un corbeau": {
 "Name" : "Une petite icône d'argent représentant un corbeau",
 "OV" : "",
 "Category": "TRINKETS",
 "Weight" : 0,
 "Price" : 0
  }</v>
      </c>
    </row>
    <row r="104" spans="1:9">
      <c r="A104" s="295" t="s">
        <v>876</v>
      </c>
      <c r="C104" t="s">
        <v>4077</v>
      </c>
      <c r="D104" t="s">
        <v>298</v>
      </c>
      <c r="E104" s="40" t="s">
        <v>4079</v>
      </c>
      <c r="F104" s="74">
        <f t="shared" si="18"/>
        <v>0</v>
      </c>
      <c r="G104" s="74" t="str">
        <f t="shared" si="19"/>
        <v>0</v>
      </c>
      <c r="I104" t="str">
        <f t="shared" si="20"/>
        <v>"Un sac contenant quarante-sept dents humanoïdes, dont l'une est cariée": {
 "Name" : "Un sac contenant quarante-sept dents humanoïdes, dont l'une est cariée",
 "OV" : "",
 "Category": "TRINKETS",
 "Weight" : 0,
 "Price" : 0
  }</v>
      </c>
    </row>
    <row r="105" spans="1:9">
      <c r="A105" s="294" t="s">
        <v>877</v>
      </c>
      <c r="C105" t="s">
        <v>4077</v>
      </c>
      <c r="D105" t="s">
        <v>298</v>
      </c>
      <c r="E105" s="40" t="s">
        <v>4079</v>
      </c>
      <c r="F105" s="74">
        <f t="shared" si="18"/>
        <v>0</v>
      </c>
      <c r="G105" s="74" t="str">
        <f t="shared" si="19"/>
        <v>0</v>
      </c>
      <c r="I105" t="str">
        <f t="shared" si="20"/>
        <v>"Un fragment d'obsidienne qui se sent toujours chaud au toucher": {
 "Name" : "Un fragment d'obsidienne qui se sent toujours chaud au toucher",
 "OV" : "",
 "Category": "TRINKETS",
 "Weight" : 0,
 "Price" : 0
  }</v>
      </c>
    </row>
    <row r="106" spans="1:9">
      <c r="A106" s="295" t="s">
        <v>878</v>
      </c>
      <c r="C106" t="s">
        <v>4077</v>
      </c>
      <c r="D106" t="s">
        <v>298</v>
      </c>
      <c r="E106" s="40" t="s">
        <v>4079</v>
      </c>
      <c r="F106" s="74">
        <f t="shared" si="18"/>
        <v>0</v>
      </c>
      <c r="G106" s="74" t="str">
        <f t="shared" si="19"/>
        <v>0</v>
      </c>
      <c r="I106" t="str">
        <f t="shared" si="20"/>
        <v>"Une griffe osseuse d'un dragon suspendue à un collier de cuir lisse": {
 "Name" : "Une griffe osseuse d'un dragon suspendue à un collier de cuir lisse",
 "OV" : "",
 "Category": "TRINKETS",
 "Weight" : 0,
 "Price" : 0
  }</v>
      </c>
    </row>
    <row r="107" spans="1:9">
      <c r="A107" s="294" t="s">
        <v>879</v>
      </c>
      <c r="C107" t="s">
        <v>4077</v>
      </c>
      <c r="D107" t="s">
        <v>298</v>
      </c>
      <c r="E107" s="40" t="s">
        <v>4079</v>
      </c>
      <c r="F107" s="74">
        <f t="shared" si="18"/>
        <v>0</v>
      </c>
      <c r="G107" s="74" t="str">
        <f t="shared" si="19"/>
        <v>0</v>
      </c>
      <c r="I107" t="str">
        <f t="shared" si="20"/>
        <v>"Une paire de vieilles chaussettes": {
 "Name" : "Une paire de vieilles chaussettes",
 "OV" : "",
 "Category": "TRINKETS",
 "Weight" : 0,
 "Price" : 0
  }</v>
      </c>
    </row>
    <row r="108" spans="1:9">
      <c r="A108" s="295" t="s">
        <v>880</v>
      </c>
      <c r="C108" t="s">
        <v>4077</v>
      </c>
      <c r="D108" t="s">
        <v>298</v>
      </c>
      <c r="E108" s="40" t="s">
        <v>4079</v>
      </c>
      <c r="F108" s="74">
        <f t="shared" si="18"/>
        <v>0</v>
      </c>
      <c r="G108" s="74" t="str">
        <f t="shared" si="19"/>
        <v>0</v>
      </c>
      <c r="I108" t="str">
        <f t="shared" si="20"/>
        <v>"Un livre blanc dont les pages refusent de retenir l'encre, la craie, la graphite ou toute autre substance ou marquage": {
 "Name" : "Un livre blanc dont les pages refusent de retenir l'encre, la craie, la graphite ou toute autre substance ou marquage",
 "OV" : "",
 "Category": "TRINKETS",
 "Weight" : 0,
 "Price" : 0
  }</v>
      </c>
    </row>
    <row r="109" spans="1:9">
      <c r="A109" s="294" t="s">
        <v>881</v>
      </c>
      <c r="C109" t="s">
        <v>4077</v>
      </c>
      <c r="D109" t="s">
        <v>298</v>
      </c>
      <c r="E109" s="40" t="s">
        <v>4079</v>
      </c>
      <c r="F109" s="74">
        <f t="shared" si="18"/>
        <v>0</v>
      </c>
      <c r="G109" s="74" t="str">
        <f t="shared" si="19"/>
        <v>0</v>
      </c>
      <c r="I109" t="str">
        <f t="shared" si="20"/>
        <v>"Un badge en argent qui représente une étoile à cinq branches": {
 "Name" : "Un badge en argent qui représente une étoile à cinq branches",
 "OV" : "",
 "Category": "TRINKETS",
 "Weight" : 0,
 "Price" : 0
  }</v>
      </c>
    </row>
    <row r="110" spans="1:9">
      <c r="A110" s="295" t="s">
        <v>882</v>
      </c>
      <c r="C110" t="s">
        <v>4077</v>
      </c>
      <c r="D110" t="s">
        <v>298</v>
      </c>
      <c r="E110" s="40" t="s">
        <v>4079</v>
      </c>
      <c r="F110" s="74">
        <f t="shared" si="18"/>
        <v>0</v>
      </c>
      <c r="G110" s="74" t="str">
        <f t="shared" si="19"/>
        <v>0</v>
      </c>
      <c r="I110" t="str">
        <f t="shared" si="20"/>
        <v>"Un couteau qui appartenait à un parent": {
 "Name" : "Un couteau qui appartenait à un parent",
 "OV" : "",
 "Category": "TRINKETS",
 "Weight" : 0,
 "Price" : 0
  }</v>
      </c>
    </row>
    <row r="111" spans="1:9">
      <c r="A111" s="294" t="s">
        <v>883</v>
      </c>
      <c r="C111" t="s">
        <v>4077</v>
      </c>
      <c r="D111" t="s">
        <v>298</v>
      </c>
      <c r="E111" s="40" t="s">
        <v>4079</v>
      </c>
      <c r="F111" s="74">
        <f t="shared" si="18"/>
        <v>0</v>
      </c>
      <c r="G111" s="74" t="str">
        <f t="shared" si="19"/>
        <v>0</v>
      </c>
      <c r="I111" t="str">
        <f t="shared" si="20"/>
        <v>"Un flacon de verre rempli de rognures d'ongles": {
 "Name" : "Un flacon de verre rempli de rognures d'ongles",
 "OV" : "",
 "Category": "TRINKETS",
 "Weight" : 0,
 "Price" : 0
  }</v>
      </c>
    </row>
    <row r="112" spans="1:9">
      <c r="A112" s="295" t="s">
        <v>884</v>
      </c>
      <c r="C112" t="s">
        <v>4077</v>
      </c>
      <c r="D112" t="s">
        <v>298</v>
      </c>
      <c r="E112" s="40" t="s">
        <v>4079</v>
      </c>
      <c r="F112" s="74">
        <f t="shared" si="18"/>
        <v>0</v>
      </c>
      <c r="G112" s="74" t="str">
        <f t="shared" si="19"/>
        <v>0</v>
      </c>
      <c r="I112" t="str">
        <f t="shared" si="20"/>
        <v>"Un dispositif métallique et rectangulaire avec deux petites coupes en métal à une extrémité et qui jette des étincelles lorsqu'il est mouillé": {
 "Name" : "Un dispositif métallique et rectangulaire avec deux petites coupes en métal à une extrémité et qui jette des étincelles lorsqu'il est mouillé",
 "OV" : "",
 "Category": "TRINKETS",
 "Weight" : 0,
 "Price" : 0
  }</v>
      </c>
    </row>
    <row r="113" spans="1:9">
      <c r="A113" s="294" t="s">
        <v>885</v>
      </c>
      <c r="C113" t="s">
        <v>4077</v>
      </c>
      <c r="D113" t="s">
        <v>298</v>
      </c>
      <c r="E113" s="40" t="s">
        <v>4079</v>
      </c>
      <c r="F113" s="74">
        <f t="shared" si="18"/>
        <v>0</v>
      </c>
      <c r="G113" s="74" t="str">
        <f t="shared" si="19"/>
        <v>0</v>
      </c>
      <c r="I113" t="str">
        <f t="shared" si="20"/>
        <v>"Un gant blanc pailleté aux dimensions d'un humain": {
 "Name" : "Un gant blanc pailleté aux dimensions d'un humain",
 "OV" : "",
 "Category": "TRINKETS",
 "Weight" : 0,
 "Price" : 0
  }</v>
      </c>
    </row>
    <row r="114" spans="1:9">
      <c r="A114" s="295" t="s">
        <v>886</v>
      </c>
      <c r="C114" t="s">
        <v>4077</v>
      </c>
      <c r="D114" t="s">
        <v>298</v>
      </c>
      <c r="E114" s="40" t="s">
        <v>4079</v>
      </c>
      <c r="F114" s="74">
        <f t="shared" si="18"/>
        <v>0</v>
      </c>
      <c r="G114" s="74" t="str">
        <f t="shared" si="19"/>
        <v>0</v>
      </c>
      <c r="I114" t="str">
        <f t="shared" si="20"/>
        <v>"Une veste avec une centaine de minuscules poches": {
 "Name" : "Une veste avec une centaine de minuscules poches",
 "OV" : "",
 "Category": "TRINKETS",
 "Weight" : 0,
 "Price" : 0
  }</v>
      </c>
    </row>
    <row r="115" spans="1:9">
      <c r="A115" s="294" t="s">
        <v>887</v>
      </c>
      <c r="C115" t="s">
        <v>4077</v>
      </c>
      <c r="D115" t="s">
        <v>298</v>
      </c>
      <c r="E115" s="40" t="s">
        <v>4079</v>
      </c>
      <c r="F115" s="74">
        <f t="shared" si="18"/>
        <v>0</v>
      </c>
      <c r="G115" s="74" t="str">
        <f t="shared" si="19"/>
        <v>0</v>
      </c>
      <c r="I115" t="str">
        <f t="shared" si="20"/>
        <v>"Un petit bloc de pierre léger": {
 "Name" : "Un petit bloc de pierre léger",
 "OV" : "",
 "Category": "TRINKETS",
 "Weight" : 0,
 "Price" : 0
  }</v>
      </c>
    </row>
    <row r="116" spans="1:9">
      <c r="A116" s="295" t="s">
        <v>888</v>
      </c>
      <c r="C116" t="s">
        <v>4077</v>
      </c>
      <c r="D116" t="s">
        <v>298</v>
      </c>
      <c r="E116" s="40" t="s">
        <v>4079</v>
      </c>
      <c r="F116" s="74">
        <f t="shared" si="18"/>
        <v>0</v>
      </c>
      <c r="G116" s="74" t="str">
        <f t="shared" si="19"/>
        <v>0</v>
      </c>
      <c r="I116" t="str">
        <f t="shared" si="20"/>
        <v>"Un petit dessin qui représente le portrait d'un gobelin": {
 "Name" : "Un petit dessin qui représente le portrait d'un gobelin",
 "OV" : "",
 "Category": "TRINKETS",
 "Weight" : 0,
 "Price" : 0
  }</v>
      </c>
    </row>
    <row r="117" spans="1:9">
      <c r="A117" s="294" t="s">
        <v>889</v>
      </c>
      <c r="C117" t="s">
        <v>4077</v>
      </c>
      <c r="D117" t="s">
        <v>298</v>
      </c>
      <c r="E117" s="40" t="s">
        <v>4079</v>
      </c>
      <c r="F117" s="74">
        <f t="shared" si="18"/>
        <v>0</v>
      </c>
      <c r="G117" s="74" t="str">
        <f t="shared" si="19"/>
        <v>0</v>
      </c>
      <c r="I117" t="str">
        <f t="shared" si="20"/>
        <v>"Un flacon de verre vide qui sent le parfum lorsqu'il est ouvert": {
 "Name" : "Un flacon de verre vide qui sent le parfum lorsqu'il est ouvert",
 "OV" : "",
 "Category": "TRINKETS",
 "Weight" : 0,
 "Price" : 0
  }</v>
      </c>
    </row>
    <row r="118" spans="1:9">
      <c r="A118" s="295" t="s">
        <v>890</v>
      </c>
      <c r="C118" t="s">
        <v>4077</v>
      </c>
      <c r="D118" t="s">
        <v>298</v>
      </c>
      <c r="E118" s="40" t="s">
        <v>4079</v>
      </c>
      <c r="F118" s="74">
        <f t="shared" si="18"/>
        <v>0</v>
      </c>
      <c r="G118" s="74" t="str">
        <f t="shared" si="19"/>
        <v>0</v>
      </c>
      <c r="I118" t="str">
        <f t="shared" si="20"/>
        <v>"Une pierre précieuse qui ressemble à un morceau de charbon pour tout le monde, sauf pour vous": {
 "Name" : "Une pierre précieuse qui ressemble à un morceau de charbon pour tout le monde, sauf pour vous",
 "OV" : "",
 "Category": "TRINKETS",
 "Weight" : 0,
 "Price" : 0
  }</v>
      </c>
    </row>
    <row r="119" spans="1:9">
      <c r="A119" s="294" t="s">
        <v>891</v>
      </c>
      <c r="C119" t="s">
        <v>4077</v>
      </c>
      <c r="D119" t="s">
        <v>298</v>
      </c>
      <c r="E119" s="40" t="s">
        <v>4079</v>
      </c>
      <c r="F119" s="74">
        <f t="shared" si="18"/>
        <v>0</v>
      </c>
      <c r="G119" s="74" t="str">
        <f t="shared" si="19"/>
        <v>0</v>
      </c>
      <c r="I119" t="str">
        <f t="shared" si="20"/>
        <v>"Un morceau de tissu d'une vieille bannière": {
 "Name" : "Un morceau de tissu d'une vieille bannière",
 "OV" : "",
 "Category": "TRINKETS",
 "Weight" : 0,
 "Price" : 0
  }</v>
      </c>
    </row>
    <row r="120" spans="1:9">
      <c r="A120" s="295" t="s">
        <v>892</v>
      </c>
      <c r="C120" t="s">
        <v>4077</v>
      </c>
      <c r="D120" t="s">
        <v>298</v>
      </c>
      <c r="E120" s="40" t="s">
        <v>4079</v>
      </c>
      <c r="F120" s="74">
        <f t="shared" si="18"/>
        <v>0</v>
      </c>
      <c r="G120" s="74" t="str">
        <f t="shared" si="19"/>
        <v>0</v>
      </c>
      <c r="I120" t="str">
        <f t="shared" si="20"/>
        <v>"Un insigne de grade d'un légionnaire perdu": {
 "Name" : "Un insigne de grade d'un légionnaire perdu",
 "OV" : "",
 "Category": "TRINKETS",
 "Weight" : 0,
 "Price" : 0
  }</v>
      </c>
    </row>
    <row r="121" spans="1:9">
      <c r="A121" s="294" t="s">
        <v>893</v>
      </c>
      <c r="C121" t="s">
        <v>4077</v>
      </c>
      <c r="D121" t="s">
        <v>298</v>
      </c>
      <c r="E121" s="40" t="s">
        <v>4079</v>
      </c>
      <c r="F121" s="74">
        <f t="shared" si="18"/>
        <v>0</v>
      </c>
      <c r="G121" s="74" t="str">
        <f t="shared" si="19"/>
        <v>0</v>
      </c>
      <c r="I121" t="str">
        <f t="shared" si="20"/>
        <v>"Une cloche en argent minuscule et sans battant": {
 "Name" : "Une cloche en argent minuscule et sans battant",
 "OV" : "",
 "Category": "TRINKETS",
 "Weight" : 0,
 "Price" : 0
  }</v>
      </c>
    </row>
    <row r="122" spans="1:9">
      <c r="A122" s="295" t="s">
        <v>894</v>
      </c>
      <c r="C122" t="s">
        <v>4077</v>
      </c>
      <c r="D122" t="s">
        <v>298</v>
      </c>
      <c r="E122" s="40" t="s">
        <v>4079</v>
      </c>
      <c r="F122" s="74">
        <f t="shared" si="18"/>
        <v>0</v>
      </c>
      <c r="G122" s="74" t="str">
        <f t="shared" si="19"/>
        <v>0</v>
      </c>
      <c r="I122" t="str">
        <f t="shared" si="20"/>
        <v>"Un canari mécanique à l'intérieur d'une lampe de gnome": {
 "Name" : "Un canari mécanique à l'intérieur d'une lampe de gnome",
 "OV" : "",
 "Category": "TRINKETS",
 "Weight" : 0,
 "Price" : 0
  }</v>
      </c>
    </row>
    <row r="123" spans="1:9">
      <c r="A123" s="294" t="s">
        <v>895</v>
      </c>
      <c r="C123" t="s">
        <v>4077</v>
      </c>
      <c r="D123" t="s">
        <v>298</v>
      </c>
      <c r="E123" s="40" t="s">
        <v>4079</v>
      </c>
      <c r="F123" s="74">
        <f t="shared" si="18"/>
        <v>0</v>
      </c>
      <c r="G123" s="74" t="str">
        <f t="shared" si="19"/>
        <v>0</v>
      </c>
      <c r="I123" t="str">
        <f t="shared" si="20"/>
        <v>"Un petit coffre avec de nombreux pieds sculptés sur le fond": {
 "Name" : "Un petit coffre avec de nombreux pieds sculptés sur le fond",
 "OV" : "",
 "Category": "TRINKETS",
 "Weight" : 0,
 "Price" : 0
  }</v>
      </c>
    </row>
    <row r="124" spans="1:9">
      <c r="A124" s="295" t="s">
        <v>896</v>
      </c>
      <c r="C124" t="s">
        <v>4077</v>
      </c>
      <c r="D124" t="s">
        <v>298</v>
      </c>
      <c r="E124" s="40" t="s">
        <v>4079</v>
      </c>
      <c r="F124" s="74">
        <f t="shared" si="18"/>
        <v>0</v>
      </c>
      <c r="G124" s="74" t="str">
        <f t="shared" si="19"/>
        <v>0</v>
      </c>
      <c r="I124" t="str">
        <f t="shared" si="20"/>
        <v>"Une pixie morte à l'intérieur d'une bouteille en verre transparent": {
 "Name" : "Une pixie morte à l'intérieur d'une bouteille en verre transparent",
 "OV" : "",
 "Category": "TRINKETS",
 "Weight" : 0,
 "Price" : 0
  }</v>
      </c>
    </row>
    <row r="125" spans="1:9">
      <c r="A125" s="294" t="s">
        <v>897</v>
      </c>
      <c r="C125" t="s">
        <v>4077</v>
      </c>
      <c r="D125" t="s">
        <v>298</v>
      </c>
      <c r="E125" s="40" t="s">
        <v>4079</v>
      </c>
      <c r="F125" s="74">
        <f t="shared" si="18"/>
        <v>0</v>
      </c>
      <c r="G125" s="74" t="str">
        <f t="shared" si="19"/>
        <v>0</v>
      </c>
      <c r="I125" t="str">
        <f t="shared" si="20"/>
        <v>"Une boîte métallique qui n'a pas d'ouverture mais qui sonne comme si elle était remplie de liquide, de sable, d'araignées ou de verre brisé (au choix)": {
 "Name" : "Une boîte métallique qui n'a pas d'ouverture mais qui sonne comme si elle était remplie de liquide, de sable, d'araignées ou de verre brisé (au choix)",
 "OV" : "",
 "Category": "TRINKETS",
 "Weight" : 0,
 "Price" : 0
  }</v>
      </c>
    </row>
    <row r="126" spans="1:9">
      <c r="A126" s="295" t="s">
        <v>898</v>
      </c>
      <c r="C126" t="s">
        <v>4077</v>
      </c>
      <c r="D126" t="s">
        <v>298</v>
      </c>
      <c r="E126" s="40" t="s">
        <v>4079</v>
      </c>
      <c r="F126" s="74">
        <f t="shared" si="18"/>
        <v>0</v>
      </c>
      <c r="G126" s="74" t="str">
        <f t="shared" si="19"/>
        <v>0</v>
      </c>
      <c r="I126" t="str">
        <f t="shared" si="20"/>
        <v>"Un orbe de verre rempli d'eau, dans lequel nage un poisson rouge mécanique": {
 "Name" : "Un orbe de verre rempli d'eau, dans lequel nage un poisson rouge mécanique",
 "OV" : "",
 "Category": "TRINKETS",
 "Weight" : 0,
 "Price" : 0
  }</v>
      </c>
    </row>
    <row r="127" spans="1:9">
      <c r="A127" s="294" t="s">
        <v>899</v>
      </c>
      <c r="C127" t="s">
        <v>4077</v>
      </c>
      <c r="D127" t="s">
        <v>298</v>
      </c>
      <c r="E127" s="40" t="s">
        <v>4079</v>
      </c>
      <c r="F127" s="74">
        <f t="shared" si="18"/>
        <v>0</v>
      </c>
      <c r="G127" s="74" t="str">
        <f t="shared" si="19"/>
        <v>0</v>
      </c>
      <c r="I127" t="str">
        <f t="shared" si="20"/>
        <v>"Une cuillère d'argent avec un M gravé sur le manche": {
 "Name" : "Une cuillère d'argent avec un M gravé sur le manche",
 "OV" : "",
 "Category": "TRINKETS",
 "Weight" : 0,
 "Price" : 0
  }</v>
      </c>
    </row>
    <row r="128" spans="1:9">
      <c r="A128" s="295" t="s">
        <v>900</v>
      </c>
      <c r="C128" t="s">
        <v>4077</v>
      </c>
      <c r="D128" t="s">
        <v>298</v>
      </c>
      <c r="E128" s="40" t="s">
        <v>4079</v>
      </c>
      <c r="F128" s="74">
        <f t="shared" si="18"/>
        <v>0</v>
      </c>
      <c r="G128" s="74" t="str">
        <f t="shared" si="19"/>
        <v>0</v>
      </c>
      <c r="I128" t="str">
        <f t="shared" si="20"/>
        <v>"Un sifflet en bois de couleur or": {
 "Name" : "Un sifflet en bois de couleur or",
 "OV" : "",
 "Category": "TRINKETS",
 "Weight" : 0,
 "Price" : 0
  }</v>
      </c>
    </row>
    <row r="129" spans="1:9">
      <c r="A129" s="294" t="s">
        <v>901</v>
      </c>
      <c r="C129" t="s">
        <v>4077</v>
      </c>
      <c r="D129" t="s">
        <v>298</v>
      </c>
      <c r="E129" s="40" t="s">
        <v>4079</v>
      </c>
      <c r="F129" s="74">
        <f t="shared" si="18"/>
        <v>0</v>
      </c>
      <c r="G129" s="74" t="str">
        <f t="shared" si="19"/>
        <v>0</v>
      </c>
      <c r="I129" t="str">
        <f t="shared" si="20"/>
        <v>"Un scarabée mort de la taille de votre main": {
 "Name" : "Un scarabée mort de la taille de votre main",
 "OV" : "",
 "Category": "TRINKETS",
 "Weight" : 0,
 "Price" : 0
  }</v>
      </c>
    </row>
    <row r="130" spans="1:9">
      <c r="A130" s="295" t="s">
        <v>902</v>
      </c>
      <c r="C130" t="s">
        <v>4077</v>
      </c>
      <c r="D130" t="s">
        <v>298</v>
      </c>
      <c r="E130" s="40" t="s">
        <v>4079</v>
      </c>
      <c r="F130" s="74">
        <f t="shared" si="18"/>
        <v>0</v>
      </c>
      <c r="G130" s="74" t="str">
        <f t="shared" si="19"/>
        <v>0</v>
      </c>
      <c r="I130" t="str">
        <f t="shared" si="20"/>
        <v>"Deux soldats de plomb, l'un avec la tête manquante": {
 "Name" : "Deux soldats de plomb, l'un avec la tête manquante",
 "OV" : "",
 "Category": "TRINKETS",
 "Weight" : 0,
 "Price" : 0
  }</v>
      </c>
    </row>
    <row r="131" spans="1:9">
      <c r="A131" s="294" t="s">
        <v>903</v>
      </c>
      <c r="C131" t="s">
        <v>4077</v>
      </c>
      <c r="D131" t="s">
        <v>298</v>
      </c>
      <c r="E131" s="40" t="s">
        <v>4079</v>
      </c>
      <c r="F131" s="74">
        <f t="shared" si="18"/>
        <v>0</v>
      </c>
      <c r="G131" s="74" t="str">
        <f t="shared" si="19"/>
        <v>0</v>
      </c>
      <c r="I131" t="str">
        <f t="shared" si="20"/>
        <v>"Une petite boîte remplie de boutons de différentes tailles": {
 "Name" : "Une petite boîte remplie de boutons de différentes tailles",
 "OV" : "",
 "Category": "TRINKETS",
 "Weight" : 0,
 "Price" : 0
  }</v>
      </c>
    </row>
    <row r="132" spans="1:9">
      <c r="A132" s="295" t="s">
        <v>904</v>
      </c>
      <c r="C132" t="s">
        <v>4077</v>
      </c>
      <c r="D132" t="s">
        <v>298</v>
      </c>
      <c r="E132" s="40" t="s">
        <v>4079</v>
      </c>
      <c r="F132" s="74">
        <f t="shared" si="18"/>
        <v>0</v>
      </c>
      <c r="G132" s="74" t="str">
        <f t="shared" si="19"/>
        <v>0</v>
      </c>
      <c r="I132" t="str">
        <f t="shared" si="20"/>
        <v>"Une bougie qui ne peut pas être allumée": {
 "Name" : "Une bougie qui ne peut pas être allumée",
 "OV" : "",
 "Category": "TRINKETS",
 "Weight" : 0,
 "Price" : 0
  }</v>
      </c>
    </row>
    <row r="133" spans="1:9">
      <c r="A133" s="294" t="s">
        <v>905</v>
      </c>
      <c r="C133" t="s">
        <v>4077</v>
      </c>
      <c r="D133" t="s">
        <v>298</v>
      </c>
      <c r="E133" s="40" t="s">
        <v>4079</v>
      </c>
      <c r="F133" s="74">
        <f t="shared" si="18"/>
        <v>0</v>
      </c>
      <c r="G133" s="74" t="str">
        <f t="shared" si="19"/>
        <v>0</v>
      </c>
      <c r="I133" t="str">
        <f t="shared" si="20"/>
        <v>"Une petite cage sans porte": {
 "Name" : "Une petite cage sans porte",
 "OV" : "",
 "Category": "TRINKETS",
 "Weight" : 0,
 "Price" : 0
  }</v>
      </c>
    </row>
    <row r="134" spans="1:9">
      <c r="A134" s="295" t="s">
        <v>906</v>
      </c>
      <c r="C134" t="s">
        <v>4077</v>
      </c>
      <c r="D134" t="s">
        <v>298</v>
      </c>
      <c r="E134" s="40" t="s">
        <v>4079</v>
      </c>
      <c r="F134" s="74">
        <f t="shared" si="18"/>
        <v>0</v>
      </c>
      <c r="G134" s="74" t="str">
        <f t="shared" si="19"/>
        <v>0</v>
      </c>
      <c r="I134" t="str">
        <f t="shared" si="20"/>
        <v>"Une vieille clé": {
 "Name" : "Une vieille clé",
 "OV" : "",
 "Category": "TRINKETS",
 "Weight" : 0,
 "Price" : 0
  }</v>
      </c>
    </row>
    <row r="135" spans="1:9">
      <c r="A135" s="294" t="s">
        <v>907</v>
      </c>
      <c r="C135" t="s">
        <v>4077</v>
      </c>
      <c r="D135" t="s">
        <v>298</v>
      </c>
      <c r="E135" s="40" t="s">
        <v>4079</v>
      </c>
      <c r="F135" s="74">
        <f t="shared" si="18"/>
        <v>0</v>
      </c>
      <c r="G135" s="74" t="str">
        <f t="shared" si="19"/>
        <v>0</v>
      </c>
      <c r="I135" t="str">
        <f t="shared" si="20"/>
        <v>"Une carte au trésor indéchiffrable": {
 "Name" : "Une carte au trésor indéchiffrable",
 "OV" : "",
 "Category": "TRINKETS",
 "Weight" : 0,
 "Price" : 0
  }</v>
      </c>
    </row>
    <row r="136" spans="1:9">
      <c r="A136" s="295" t="s">
        <v>908</v>
      </c>
      <c r="C136" t="s">
        <v>4077</v>
      </c>
      <c r="D136" t="s">
        <v>298</v>
      </c>
      <c r="E136" s="40" t="s">
        <v>4079</v>
      </c>
      <c r="F136" s="74">
        <f t="shared" si="18"/>
        <v>0</v>
      </c>
      <c r="G136" s="74" t="str">
        <f t="shared" si="19"/>
        <v>0</v>
      </c>
      <c r="I136" t="str">
        <f t="shared" si="20"/>
        <v>"Une poigne d'épée brisée": {
 "Name" : "Une poigne d'épée brisée",
 "OV" : "",
 "Category": "TRINKETS",
 "Weight" : 0,
 "Price" : 0
  }</v>
      </c>
    </row>
    <row r="137" spans="1:9">
      <c r="A137" s="294" t="s">
        <v>909</v>
      </c>
      <c r="C137" t="s">
        <v>4077</v>
      </c>
      <c r="D137" t="s">
        <v>298</v>
      </c>
      <c r="E137" s="40" t="s">
        <v>4079</v>
      </c>
      <c r="F137" s="74">
        <f t="shared" si="18"/>
        <v>0</v>
      </c>
      <c r="G137" s="74" t="str">
        <f t="shared" si="19"/>
        <v>0</v>
      </c>
      <c r="I137" t="str">
        <f t="shared" si="20"/>
        <v>"Une patte de lapin": {
 "Name" : "Une patte de lapin",
 "OV" : "",
 "Category": "TRINKETS",
 "Weight" : 0,
 "Price" : 0
  }</v>
      </c>
    </row>
    <row r="138" spans="1:9">
      <c r="A138" s="295" t="s">
        <v>910</v>
      </c>
      <c r="C138" t="s">
        <v>4077</v>
      </c>
      <c r="D138" t="s">
        <v>298</v>
      </c>
      <c r="E138" s="40" t="s">
        <v>4079</v>
      </c>
      <c r="F138" s="74">
        <f t="shared" si="18"/>
        <v>0</v>
      </c>
      <c r="G138" s="74" t="str">
        <f t="shared" si="19"/>
        <v>0</v>
      </c>
      <c r="I138" t="str">
        <f t="shared" si="20"/>
        <v>"Un œil de verre": {
 "Name" : "Un œil de verre",
 "OV" : "",
 "Category": "TRINKETS",
 "Weight" : 0,
 "Price" : 0
  }</v>
      </c>
    </row>
    <row r="139" spans="1:9">
      <c r="A139" s="294" t="s">
        <v>911</v>
      </c>
      <c r="C139" t="s">
        <v>4077</v>
      </c>
      <c r="D139" t="s">
        <v>298</v>
      </c>
      <c r="E139" s="40" t="s">
        <v>4079</v>
      </c>
      <c r="F139" s="74">
        <f t="shared" si="18"/>
        <v>0</v>
      </c>
      <c r="G139" s="74" t="str">
        <f t="shared" si="19"/>
        <v>0</v>
      </c>
      <c r="I139" t="str">
        <f t="shared" si="20"/>
        <v>"Un camée (pendentif) sculpté à l'image d'une personne hideuse": {
 "Name" : "Un camée (pendentif) sculpté à l'image d'une personne hideuse",
 "OV" : "",
 "Category": "TRINKETS",
 "Weight" : 0,
 "Price" : 0
  }</v>
      </c>
    </row>
    <row r="140" spans="1:9">
      <c r="A140" s="295" t="s">
        <v>912</v>
      </c>
      <c r="C140" t="s">
        <v>4077</v>
      </c>
      <c r="D140" t="s">
        <v>298</v>
      </c>
      <c r="E140" s="40" t="s">
        <v>4079</v>
      </c>
      <c r="F140" s="74">
        <f t="shared" si="18"/>
        <v>0</v>
      </c>
      <c r="G140" s="74" t="str">
        <f t="shared" si="19"/>
        <v>0</v>
      </c>
      <c r="I140" t="str">
        <f t="shared" si="20"/>
        <v>"Un crâne en argent de la taille d'une pièce de monnaie": {
 "Name" : "Un crâne en argent de la taille d'une pièce de monnaie",
 "OV" : "",
 "Category": "TRINKETS",
 "Weight" : 0,
 "Price" : 0
  }</v>
      </c>
    </row>
    <row r="141" spans="1:9">
      <c r="A141" s="294" t="s">
        <v>913</v>
      </c>
      <c r="C141" t="s">
        <v>4077</v>
      </c>
      <c r="D141" t="s">
        <v>298</v>
      </c>
      <c r="E141" s="40" t="s">
        <v>4079</v>
      </c>
      <c r="F141" s="74">
        <f t="shared" si="18"/>
        <v>0</v>
      </c>
      <c r="G141" s="74" t="str">
        <f t="shared" si="19"/>
        <v>0</v>
      </c>
      <c r="I141" t="str">
        <f t="shared" si="20"/>
        <v>"Un masque d'albâtre": {
 "Name" : "Un masque d'albâtre",
 "OV" : "",
 "Category": "TRINKETS",
 "Weight" : 0,
 "Price" : 0
  }</v>
      </c>
    </row>
    <row r="142" spans="1:9">
      <c r="A142" s="295" t="s">
        <v>914</v>
      </c>
      <c r="C142" t="s">
        <v>4077</v>
      </c>
      <c r="D142" t="s">
        <v>298</v>
      </c>
      <c r="E142" s="40" t="s">
        <v>4079</v>
      </c>
      <c r="F142" s="74">
        <f t="shared" si="18"/>
        <v>0</v>
      </c>
      <c r="G142" s="74" t="str">
        <f t="shared" si="19"/>
        <v>0</v>
      </c>
      <c r="I142" t="str">
        <f t="shared" si="20"/>
        <v>"Une pyramide de bâtonnets d'encens noir qui sent très mauvais": {
 "Name" : "Une pyramide de bâtonnets d'encens noir qui sent très mauvais",
 "OV" : "",
 "Category": "TRINKETS",
 "Weight" : 0,
 "Price" : 0
  }</v>
      </c>
    </row>
    <row r="143" spans="1:9">
      <c r="A143" s="294" t="s">
        <v>915</v>
      </c>
      <c r="C143" t="s">
        <v>4077</v>
      </c>
      <c r="D143" t="s">
        <v>298</v>
      </c>
      <c r="E143" s="40" t="s">
        <v>4079</v>
      </c>
      <c r="F143" s="74">
        <f t="shared" si="18"/>
        <v>0</v>
      </c>
      <c r="G143" s="74" t="str">
        <f t="shared" si="19"/>
        <v>0</v>
      </c>
      <c r="I143" t="str">
        <f t="shared" si="20"/>
        <v>"Un bonnet de nuit qui, lorsqu'il est porté, vous donne des rêves agréables": {
 "Name" : "Un bonnet de nuit qui, lorsqu'il est porté, vous donne des rêves agréables",
 "OV" : "",
 "Category": "TRINKETS",
 "Weight" : 0,
 "Price" : 0
  }</v>
      </c>
    </row>
    <row r="144" spans="1:9">
      <c r="A144" s="295" t="s">
        <v>916</v>
      </c>
      <c r="C144" t="s">
        <v>4077</v>
      </c>
      <c r="D144" t="s">
        <v>298</v>
      </c>
      <c r="E144" s="40" t="s">
        <v>4079</v>
      </c>
      <c r="F144" s="74">
        <f t="shared" ref="F144:F178" si="21">LEFT(C144,LEN(C144)-3)*IF(RIGHT(C144,2)="po",100,IF(RIGHT(C144,2)="pa",10,1))</f>
        <v>0</v>
      </c>
      <c r="G144" s="74" t="str">
        <f t="shared" ref="G144:G178" si="22">IF(RIGHT(D144,2)="kg",LEFT(D144,LEN(D144)-3)*1000,LEFT(D144,LEN(D144)-2))</f>
        <v>0</v>
      </c>
      <c r="I144" t="str">
        <f t="shared" ref="I144:I178" si="23">""""&amp;A144&amp;""": {
 ""Name"" : """&amp;A144&amp;""",
 ""OV"" : """&amp;B144&amp;""",
 ""Category"": """&amp;E144&amp;""",
 ""Weight"" : "&amp;G144&amp;",
 ""Price"" : "&amp;F144&amp;"
  }"</f>
        <v>"Une chausse-trappe unique fabriquée à partir d'un os": {
 "Name" : "Une chausse-trappe unique fabriquée à partir d'un os",
 "OV" : "",
 "Category": "TRINKETS",
 "Weight" : 0,
 "Price" : 0
  }</v>
      </c>
    </row>
    <row r="145" spans="1:9">
      <c r="A145" s="294" t="s">
        <v>917</v>
      </c>
      <c r="C145" t="s">
        <v>4077</v>
      </c>
      <c r="D145" t="s">
        <v>298</v>
      </c>
      <c r="E145" s="40" t="s">
        <v>4079</v>
      </c>
      <c r="F145" s="74">
        <f t="shared" si="21"/>
        <v>0</v>
      </c>
      <c r="G145" s="74" t="str">
        <f t="shared" si="22"/>
        <v>0</v>
      </c>
      <c r="I145" t="str">
        <f t="shared" si="23"/>
        <v>"Un cadre de monocle en or sans la lentille": {
 "Name" : "Un cadre de monocle en or sans la lentille",
 "OV" : "",
 "Category": "TRINKETS",
 "Weight" : 0,
 "Price" : 0
  }</v>
      </c>
    </row>
    <row r="146" spans="1:9">
      <c r="A146" s="295" t="s">
        <v>918</v>
      </c>
      <c r="C146" t="s">
        <v>4077</v>
      </c>
      <c r="D146" t="s">
        <v>298</v>
      </c>
      <c r="E146" s="40" t="s">
        <v>4079</v>
      </c>
      <c r="F146" s="74">
        <f t="shared" si="21"/>
        <v>0</v>
      </c>
      <c r="G146" s="74" t="str">
        <f t="shared" si="22"/>
        <v>0</v>
      </c>
      <c r="I146" t="str">
        <f t="shared" si="23"/>
        <v>"Un cube de 2 centimètres de côté, avec chaque face peinte d'une couleur différente": {
 "Name" : "Un cube de 2 centimètres de côté, avec chaque face peinte d'une couleur différente",
 "OV" : "",
 "Category": "TRINKETS",
 "Weight" : 0,
 "Price" : 0
  }</v>
      </c>
    </row>
    <row r="147" spans="1:9">
      <c r="A147" s="294" t="s">
        <v>919</v>
      </c>
      <c r="C147" t="s">
        <v>4077</v>
      </c>
      <c r="D147" t="s">
        <v>298</v>
      </c>
      <c r="E147" s="40" t="s">
        <v>4079</v>
      </c>
      <c r="F147" s="74">
        <f t="shared" si="21"/>
        <v>0</v>
      </c>
      <c r="G147" s="74" t="str">
        <f t="shared" si="22"/>
        <v>0</v>
      </c>
      <c r="I147" t="str">
        <f t="shared" si="23"/>
        <v>"Un bouton de porte en cristal": {
 "Name" : "Un bouton de porte en cristal",
 "OV" : "",
 "Category": "TRINKETS",
 "Weight" : 0,
 "Price" : 0
  }</v>
      </c>
    </row>
    <row r="148" spans="1:9">
      <c r="A148" s="295" t="s">
        <v>920</v>
      </c>
      <c r="C148" t="s">
        <v>4077</v>
      </c>
      <c r="D148" t="s">
        <v>298</v>
      </c>
      <c r="E148" s="40" t="s">
        <v>4079</v>
      </c>
      <c r="F148" s="74">
        <f t="shared" si="21"/>
        <v>0</v>
      </c>
      <c r="G148" s="74" t="str">
        <f t="shared" si="22"/>
        <v>0</v>
      </c>
      <c r="I148" t="str">
        <f t="shared" si="23"/>
        <v>"Un petit paquet rempli de poussière rose": {
 "Name" : "Un petit paquet rempli de poussière rose",
 "OV" : "",
 "Category": "TRINKETS",
 "Weight" : 0,
 "Price" : 0
  }</v>
      </c>
    </row>
    <row r="149" spans="1:9">
      <c r="A149" s="294" t="s">
        <v>921</v>
      </c>
      <c r="C149" t="s">
        <v>4077</v>
      </c>
      <c r="D149" t="s">
        <v>298</v>
      </c>
      <c r="E149" s="40" t="s">
        <v>4079</v>
      </c>
      <c r="F149" s="74">
        <f t="shared" si="21"/>
        <v>0</v>
      </c>
      <c r="G149" s="74" t="str">
        <f t="shared" si="22"/>
        <v>0</v>
      </c>
      <c r="I149" t="str">
        <f t="shared" si="23"/>
        <v>"Un fragment d'une belle chanson, écrite avec des notes de musique sur deux morceaux de parchemin": {
 "Name" : "Un fragment d'une belle chanson, écrite avec des notes de musique sur deux morceaux de parchemin",
 "OV" : "",
 "Category": "TRINKETS",
 "Weight" : 0,
 "Price" : 0
  }</v>
      </c>
    </row>
    <row r="150" spans="1:9">
      <c r="A150" s="295" t="s">
        <v>922</v>
      </c>
      <c r="C150" t="s">
        <v>4077</v>
      </c>
      <c r="D150" t="s">
        <v>298</v>
      </c>
      <c r="E150" s="40" t="s">
        <v>4079</v>
      </c>
      <c r="F150" s="74">
        <f t="shared" si="21"/>
        <v>0</v>
      </c>
      <c r="G150" s="74" t="str">
        <f t="shared" si="22"/>
        <v>0</v>
      </c>
      <c r="I150" t="str">
        <f t="shared" si="23"/>
        <v>"Une boucle d'oreille en forme de goutte d'argent faite à partir d'une vraie larme": {
 "Name" : "Une boucle d'oreille en forme de goutte d'argent faite à partir d'une vraie larme",
 "OV" : "",
 "Category": "TRINKETS",
 "Weight" : 0,
 "Price" : 0
  }</v>
      </c>
    </row>
    <row r="151" spans="1:9">
      <c r="A151" s="294" t="s">
        <v>923</v>
      </c>
      <c r="C151" t="s">
        <v>4077</v>
      </c>
      <c r="D151" t="s">
        <v>298</v>
      </c>
      <c r="E151" s="40" t="s">
        <v>4079</v>
      </c>
      <c r="F151" s="74">
        <f t="shared" si="21"/>
        <v>0</v>
      </c>
      <c r="G151" s="74" t="str">
        <f t="shared" si="22"/>
        <v>0</v>
      </c>
      <c r="I151" t="str">
        <f t="shared" si="23"/>
        <v>"La coquille d'un oeuf peint avec des scènes de misère humaine d'un détail troublant": {
 "Name" : "La coquille d'un oeuf peint avec des scènes de misère humaine d'un détail troublant",
 "OV" : "",
 "Category": "TRINKETS",
 "Weight" : 0,
 "Price" : 0
  }</v>
      </c>
    </row>
    <row r="152" spans="1:9">
      <c r="A152" s="295" t="s">
        <v>924</v>
      </c>
      <c r="C152" t="s">
        <v>4077</v>
      </c>
      <c r="D152" t="s">
        <v>298</v>
      </c>
      <c r="E152" s="40" t="s">
        <v>4079</v>
      </c>
      <c r="F152" s="74">
        <f t="shared" si="21"/>
        <v>0</v>
      </c>
      <c r="G152" s="74" t="str">
        <f t="shared" si="22"/>
        <v>0</v>
      </c>
      <c r="I152" t="str">
        <f t="shared" si="23"/>
        <v>"Un éventail qui, une fois déplié, montre un chat endormi": {
 "Name" : "Un éventail qui, une fois déplié, montre un chat endormi",
 "OV" : "",
 "Category": "TRINKETS",
 "Weight" : 0,
 "Price" : 0
  }</v>
      </c>
    </row>
    <row r="153" spans="1:9">
      <c r="A153" s="294" t="s">
        <v>925</v>
      </c>
      <c r="C153" t="s">
        <v>4077</v>
      </c>
      <c r="D153" t="s">
        <v>298</v>
      </c>
      <c r="E153" s="40" t="s">
        <v>4079</v>
      </c>
      <c r="F153" s="74">
        <f t="shared" si="21"/>
        <v>0</v>
      </c>
      <c r="G153" s="74" t="str">
        <f t="shared" si="22"/>
        <v>0</v>
      </c>
      <c r="I153" t="str">
        <f t="shared" si="23"/>
        <v>"Un ensemble de tubes d'os": {
 "Name" : "Un ensemble de tubes d'os",
 "OV" : "",
 "Category": "TRINKETS",
 "Weight" : 0,
 "Price" : 0
  }</v>
      </c>
    </row>
    <row r="154" spans="1:9">
      <c r="A154" s="295" t="s">
        <v>926</v>
      </c>
      <c r="C154" t="s">
        <v>4077</v>
      </c>
      <c r="D154" t="s">
        <v>298</v>
      </c>
      <c r="E154" s="40" t="s">
        <v>4079</v>
      </c>
      <c r="F154" s="74">
        <f t="shared" si="21"/>
        <v>0</v>
      </c>
      <c r="G154" s="74" t="str">
        <f t="shared" si="22"/>
        <v>0</v>
      </c>
      <c r="I154" t="str">
        <f t="shared" si="23"/>
        <v>"Un trèfle à quatre feuilles à l'intérieur d'un livre qui traite des bonnes manières et de l'étiquette": {
 "Name" : "Un trèfle à quatre feuilles à l'intérieur d'un livre qui traite des bonnes manières et de l'étiquette",
 "OV" : "",
 "Category": "TRINKETS",
 "Weight" : 0,
 "Price" : 0
  }</v>
      </c>
    </row>
    <row r="155" spans="1:9">
      <c r="A155" s="294" t="s">
        <v>927</v>
      </c>
      <c r="C155" t="s">
        <v>4077</v>
      </c>
      <c r="D155" t="s">
        <v>298</v>
      </c>
      <c r="E155" s="40" t="s">
        <v>4079</v>
      </c>
      <c r="F155" s="74">
        <f t="shared" si="21"/>
        <v>0</v>
      </c>
      <c r="G155" s="74" t="str">
        <f t="shared" si="22"/>
        <v>0</v>
      </c>
      <c r="I155" t="str">
        <f t="shared" si="23"/>
        <v>"Une feuille de parchemin sur laquelle est dessiné un engin mécanique complexe": {
 "Name" : "Une feuille de parchemin sur laquelle est dessiné un engin mécanique complexe",
 "OV" : "",
 "Category": "TRINKETS",
 "Weight" : 0,
 "Price" : 0
  }</v>
      </c>
    </row>
    <row r="156" spans="1:9">
      <c r="A156" s="295" t="s">
        <v>928</v>
      </c>
      <c r="C156" t="s">
        <v>4077</v>
      </c>
      <c r="D156" t="s">
        <v>298</v>
      </c>
      <c r="E156" s="40" t="s">
        <v>4079</v>
      </c>
      <c r="F156" s="74">
        <f t="shared" si="21"/>
        <v>0</v>
      </c>
      <c r="G156" s="74" t="str">
        <f t="shared" si="22"/>
        <v>0</v>
      </c>
      <c r="I156" t="str">
        <f t="shared" si="23"/>
        <v>"Un fourreau orné dans lequel à ce jour aucune lame ne rentre": {
 "Name" : "Un fourreau orné dans lequel à ce jour aucune lame ne rentre",
 "OV" : "",
 "Category": "TRINKETS",
 "Weight" : 0,
 "Price" : 0
  }</v>
      </c>
    </row>
    <row r="157" spans="1:9">
      <c r="A157" s="294" t="s">
        <v>929</v>
      </c>
      <c r="C157" t="s">
        <v>4077</v>
      </c>
      <c r="D157" t="s">
        <v>298</v>
      </c>
      <c r="E157" s="40" t="s">
        <v>4079</v>
      </c>
      <c r="F157" s="74">
        <f t="shared" si="21"/>
        <v>0</v>
      </c>
      <c r="G157" s="74" t="str">
        <f t="shared" si="22"/>
        <v>0</v>
      </c>
      <c r="I157" t="str">
        <f t="shared" si="23"/>
        <v>"Une invitation à une fête où un assassinat a eu lieu": {
 "Name" : "Une invitation à une fête où un assassinat a eu lieu",
 "OV" : "",
 "Category": "TRINKETS",
 "Weight" : 0,
 "Price" : 0
  }</v>
      </c>
    </row>
    <row r="158" spans="1:9">
      <c r="A158" s="295" t="s">
        <v>930</v>
      </c>
      <c r="C158" t="s">
        <v>4077</v>
      </c>
      <c r="D158" t="s">
        <v>298</v>
      </c>
      <c r="E158" s="40" t="s">
        <v>4079</v>
      </c>
      <c r="F158" s="74">
        <f t="shared" si="21"/>
        <v>0</v>
      </c>
      <c r="G158" s="74" t="str">
        <f t="shared" si="22"/>
        <v>0</v>
      </c>
      <c r="I158" t="str">
        <f t="shared" si="23"/>
        <v>"Un pentacle de bronze avec la gravure d'une tête de rat au centre": {
 "Name" : "Un pentacle de bronze avec la gravure d'une tête de rat au centre",
 "OV" : "",
 "Category": "TRINKETS",
 "Weight" : 0,
 "Price" : 0
  }</v>
      </c>
    </row>
    <row r="159" spans="1:9">
      <c r="A159" s="294" t="s">
        <v>931</v>
      </c>
      <c r="C159" t="s">
        <v>4077</v>
      </c>
      <c r="D159" t="s">
        <v>298</v>
      </c>
      <c r="E159" s="40" t="s">
        <v>4079</v>
      </c>
      <c r="F159" s="74">
        <f t="shared" si="21"/>
        <v>0</v>
      </c>
      <c r="G159" s="74" t="str">
        <f t="shared" si="22"/>
        <v>0</v>
      </c>
      <c r="I159" t="str">
        <f t="shared" si="23"/>
        <v>"Un mouchoir violet brodé avec le nom d'un puissant archimage": {
 "Name" : "Un mouchoir violet brodé avec le nom d'un puissant archimage",
 "OV" : "",
 "Category": "TRINKETS",
 "Weight" : 0,
 "Price" : 0
  }</v>
      </c>
    </row>
    <row r="160" spans="1:9">
      <c r="A160" s="295" t="s">
        <v>932</v>
      </c>
      <c r="C160" t="s">
        <v>4077</v>
      </c>
      <c r="D160" t="s">
        <v>298</v>
      </c>
      <c r="E160" s="40" t="s">
        <v>4079</v>
      </c>
      <c r="F160" s="74">
        <f t="shared" si="21"/>
        <v>0</v>
      </c>
      <c r="G160" s="74" t="str">
        <f t="shared" si="22"/>
        <v>0</v>
      </c>
      <c r="I160" t="str">
        <f t="shared" si="23"/>
        <v>"La moitié du plan d'un temple, d'un château, ou d'une autre structure": {
 "Name" : "La moitié du plan d'un temple, d'un château, ou d'une autre structure",
 "OV" : "",
 "Category": "TRINKETS",
 "Weight" : 0,
 "Price" : 0
  }</v>
      </c>
    </row>
    <row r="161" spans="1:9">
      <c r="A161" s="294" t="s">
        <v>933</v>
      </c>
      <c r="C161" t="s">
        <v>4077</v>
      </c>
      <c r="D161" t="s">
        <v>298</v>
      </c>
      <c r="E161" s="40" t="s">
        <v>4079</v>
      </c>
      <c r="F161" s="74">
        <f t="shared" si="21"/>
        <v>0</v>
      </c>
      <c r="G161" s="74" t="str">
        <f t="shared" si="22"/>
        <v>0</v>
      </c>
      <c r="I161" t="str">
        <f t="shared" si="23"/>
        <v>"Un peu de tissu plié qui, une fois déplié, se transforme en un élégant chapeau": {
 "Name" : "Un peu de tissu plié qui, une fois déplié, se transforme en un élégant chapeau",
 "OV" : "",
 "Category": "TRINKETS",
 "Weight" : 0,
 "Price" : 0
  }</v>
      </c>
    </row>
    <row r="162" spans="1:9">
      <c r="A162" s="295" t="s">
        <v>934</v>
      </c>
      <c r="C162" t="s">
        <v>4077</v>
      </c>
      <c r="D162" t="s">
        <v>298</v>
      </c>
      <c r="E162" s="40" t="s">
        <v>4079</v>
      </c>
      <c r="F162" s="74">
        <f t="shared" si="21"/>
        <v>0</v>
      </c>
      <c r="G162" s="74" t="str">
        <f t="shared" si="22"/>
        <v>0</v>
      </c>
      <c r="I162" t="str">
        <f t="shared" si="23"/>
        <v>"Un récépissé de dépôt dans une banque d'une ville très éloignée": {
 "Name" : "Un récépissé de dépôt dans une banque d'une ville très éloignée",
 "OV" : "",
 "Category": "TRINKETS",
 "Weight" : 0,
 "Price" : 0
  }</v>
      </c>
    </row>
    <row r="163" spans="1:9">
      <c r="A163" s="294" t="s">
        <v>935</v>
      </c>
      <c r="C163" t="s">
        <v>4077</v>
      </c>
      <c r="D163" t="s">
        <v>298</v>
      </c>
      <c r="E163" s="40" t="s">
        <v>4079</v>
      </c>
      <c r="F163" s="74">
        <f t="shared" si="21"/>
        <v>0</v>
      </c>
      <c r="G163" s="74" t="str">
        <f t="shared" si="22"/>
        <v>0</v>
      </c>
      <c r="I163" t="str">
        <f t="shared" si="23"/>
        <v>"Un journal avec sept pages manquantes": {
 "Name" : "Un journal avec sept pages manquantes",
 "OV" : "",
 "Category": "TRINKETS",
 "Weight" : 0,
 "Price" : 0
  }</v>
      </c>
    </row>
    <row r="164" spans="1:9">
      <c r="A164" s="295" t="s">
        <v>936</v>
      </c>
      <c r="C164" t="s">
        <v>4077</v>
      </c>
      <c r="D164" t="s">
        <v>298</v>
      </c>
      <c r="E164" s="40" t="s">
        <v>4079</v>
      </c>
      <c r="F164" s="74">
        <f t="shared" si="21"/>
        <v>0</v>
      </c>
      <c r="G164" s="74" t="str">
        <f t="shared" si="22"/>
        <v>0</v>
      </c>
      <c r="I164" t="str">
        <f t="shared" si="23"/>
        <v>"Une tabatière en argent vide et portant une inscription sur le dessus qui dit « rêves »": {
 "Name" : "Une tabatière en argent vide et portant une inscription sur le dessus qui dit « rêves »",
 "OV" : "",
 "Category": "TRINKETS",
 "Weight" : 0,
 "Price" : 0
  }</v>
      </c>
    </row>
    <row r="165" spans="1:9">
      <c r="A165" s="294" t="s">
        <v>937</v>
      </c>
      <c r="C165" t="s">
        <v>4077</v>
      </c>
      <c r="D165" t="s">
        <v>298</v>
      </c>
      <c r="E165" s="40" t="s">
        <v>4079</v>
      </c>
      <c r="F165" s="74">
        <f t="shared" si="21"/>
        <v>0</v>
      </c>
      <c r="G165" s="74" t="str">
        <f t="shared" si="22"/>
        <v>0</v>
      </c>
      <c r="I165" t="str">
        <f t="shared" si="23"/>
        <v>"Un symbole sacré en fer et consacré à un dieu inconnu": {
 "Name" : "Un symbole sacré en fer et consacré à un dieu inconnu",
 "OV" : "",
 "Category": "TRINKETS",
 "Weight" : 0,
 "Price" : 0
  }</v>
      </c>
    </row>
    <row r="166" spans="1:9">
      <c r="A166" s="295" t="s">
        <v>938</v>
      </c>
      <c r="C166" t="s">
        <v>4077</v>
      </c>
      <c r="D166" t="s">
        <v>298</v>
      </c>
      <c r="E166" s="40" t="s">
        <v>4079</v>
      </c>
      <c r="F166" s="74">
        <f t="shared" si="21"/>
        <v>0</v>
      </c>
      <c r="G166" s="74" t="str">
        <f t="shared" si="22"/>
        <v>0</v>
      </c>
      <c r="I166" t="str">
        <f t="shared" si="23"/>
        <v>"Un livre qui raconte l'histoire de l'ascension et la chute d'un héros légendaire, avec le dernier chapitre manquant": {
 "Name" : "Un livre qui raconte l'histoire de l'ascension et la chute d'un héros légendaire, avec le dernier chapitre manquant",
 "OV" : "",
 "Category": "TRINKETS",
 "Weight" : 0,
 "Price" : 0
  }</v>
      </c>
    </row>
    <row r="167" spans="1:9">
      <c r="A167" s="294" t="s">
        <v>939</v>
      </c>
      <c r="C167" t="s">
        <v>4077</v>
      </c>
      <c r="D167" t="s">
        <v>298</v>
      </c>
      <c r="E167" s="40" t="s">
        <v>4079</v>
      </c>
      <c r="F167" s="74">
        <f t="shared" si="21"/>
        <v>0</v>
      </c>
      <c r="G167" s="74" t="str">
        <f t="shared" si="22"/>
        <v>0</v>
      </c>
      <c r="I167" t="str">
        <f t="shared" si="23"/>
        <v>"Un flacon de sang de dragon": {
 "Name" : "Un flacon de sang de dragon",
 "OV" : "",
 "Category": "TRINKETS",
 "Weight" : 0,
 "Price" : 0
  }</v>
      </c>
    </row>
    <row r="168" spans="1:9">
      <c r="A168" s="295" t="s">
        <v>940</v>
      </c>
      <c r="C168" t="s">
        <v>4077</v>
      </c>
      <c r="D168" t="s">
        <v>298</v>
      </c>
      <c r="E168" s="40" t="s">
        <v>4079</v>
      </c>
      <c r="F168" s="74">
        <f t="shared" si="21"/>
        <v>0</v>
      </c>
      <c r="G168" s="74" t="str">
        <f t="shared" si="22"/>
        <v>0</v>
      </c>
      <c r="I168" t="str">
        <f t="shared" si="23"/>
        <v>"Une ancienne flèche de conception elfique": {
 "Name" : "Une ancienne flèche de conception elfique",
 "OV" : "",
 "Category": "TRINKETS",
 "Weight" : 0,
 "Price" : 0
  }</v>
      </c>
    </row>
    <row r="169" spans="1:9">
      <c r="A169" s="294" t="s">
        <v>941</v>
      </c>
      <c r="C169" t="s">
        <v>4077</v>
      </c>
      <c r="D169" t="s">
        <v>298</v>
      </c>
      <c r="E169" s="40" t="s">
        <v>4079</v>
      </c>
      <c r="F169" s="74">
        <f t="shared" si="21"/>
        <v>0</v>
      </c>
      <c r="G169" s="74" t="str">
        <f t="shared" si="22"/>
        <v>0</v>
      </c>
      <c r="I169" t="str">
        <f t="shared" si="23"/>
        <v>"Une aiguille qui ne se plie pas": {
 "Name" : "Une aiguille qui ne se plie pas",
 "OV" : "",
 "Category": "TRINKETS",
 "Weight" : 0,
 "Price" : 0
  }</v>
      </c>
    </row>
    <row r="170" spans="1:9">
      <c r="A170" s="295" t="s">
        <v>942</v>
      </c>
      <c r="C170" t="s">
        <v>4077</v>
      </c>
      <c r="D170" t="s">
        <v>298</v>
      </c>
      <c r="E170" s="40" t="s">
        <v>4079</v>
      </c>
      <c r="F170" s="74">
        <f t="shared" si="21"/>
        <v>0</v>
      </c>
      <c r="G170" s="74" t="str">
        <f t="shared" si="22"/>
        <v>0</v>
      </c>
      <c r="I170" t="str">
        <f t="shared" si="23"/>
        <v>"Une broche ornée de conception naine": {
 "Name" : "Une broche ornée de conception naine",
 "OV" : "",
 "Category": "TRINKETS",
 "Weight" : 0,
 "Price" : 0
  }</v>
      </c>
    </row>
    <row r="171" spans="1:9">
      <c r="A171" s="294" t="s">
        <v>943</v>
      </c>
      <c r="C171" t="s">
        <v>4077</v>
      </c>
      <c r="D171" t="s">
        <v>298</v>
      </c>
      <c r="E171" s="40" t="s">
        <v>4079</v>
      </c>
      <c r="F171" s="74">
        <f t="shared" si="21"/>
        <v>0</v>
      </c>
      <c r="G171" s="74" t="str">
        <f t="shared" si="22"/>
        <v>0</v>
      </c>
      <c r="I171" t="str">
        <f t="shared" si="23"/>
        <v>"Une bouteille de vin vide portant une jolie étiquette qui dit « Le magicien des vins, Cuvée du Dragon Rouge, 331422-W »": {
 "Name" : "Une bouteille de vin vide portant une jolie étiquette qui dit « Le magicien des vins, Cuvée du Dragon Rouge, 331422-W »",
 "OV" : "",
 "Category": "TRINKETS",
 "Weight" : 0,
 "Price" : 0
  }</v>
      </c>
    </row>
    <row r="172" spans="1:9">
      <c r="A172" s="295" t="s">
        <v>944</v>
      </c>
      <c r="C172" t="s">
        <v>4077</v>
      </c>
      <c r="D172" t="s">
        <v>298</v>
      </c>
      <c r="E172" s="40" t="s">
        <v>4079</v>
      </c>
      <c r="F172" s="74">
        <f t="shared" si="21"/>
        <v>0</v>
      </c>
      <c r="G172" s="74" t="str">
        <f t="shared" si="22"/>
        <v>0</v>
      </c>
      <c r="I172" t="str">
        <f t="shared" si="23"/>
        <v>"Un couvercle avec une mosaïque multicolore en surface": {
 "Name" : "Un couvercle avec une mosaïque multicolore en surface",
 "OV" : "",
 "Category": "TRINKETS",
 "Weight" : 0,
 "Price" : 0
  }</v>
      </c>
    </row>
    <row r="173" spans="1:9">
      <c r="A173" s="294" t="s">
        <v>945</v>
      </c>
      <c r="C173" t="s">
        <v>4077</v>
      </c>
      <c r="D173" t="s">
        <v>298</v>
      </c>
      <c r="E173" s="40" t="s">
        <v>4079</v>
      </c>
      <c r="F173" s="74">
        <f t="shared" si="21"/>
        <v>0</v>
      </c>
      <c r="G173" s="74" t="str">
        <f t="shared" si="22"/>
        <v>0</v>
      </c>
      <c r="I173" t="str">
        <f t="shared" si="23"/>
        <v>"Une souris pétrifiée": {
 "Name" : "Une souris pétrifiée",
 "OV" : "",
 "Category": "TRINKETS",
 "Weight" : 0,
 "Price" : 0
  }</v>
      </c>
    </row>
    <row r="174" spans="1:9">
      <c r="A174" s="295" t="s">
        <v>946</v>
      </c>
      <c r="C174" t="s">
        <v>4077</v>
      </c>
      <c r="D174" t="s">
        <v>298</v>
      </c>
      <c r="E174" s="40" t="s">
        <v>4079</v>
      </c>
      <c r="F174" s="74">
        <f t="shared" si="21"/>
        <v>0</v>
      </c>
      <c r="G174" s="74" t="str">
        <f t="shared" si="22"/>
        <v>0</v>
      </c>
      <c r="I174" t="str">
        <f t="shared" si="23"/>
        <v>"Un drapeau de pirate noir orné d'un crâne et des os croisés d'un dragon": {
 "Name" : "Un drapeau de pirate noir orné d'un crâne et des os croisés d'un dragon",
 "OV" : "",
 "Category": "TRINKETS",
 "Weight" : 0,
 "Price" : 0
  }</v>
      </c>
    </row>
    <row r="175" spans="1:9">
      <c r="A175" s="294" t="s">
        <v>947</v>
      </c>
      <c r="C175" t="s">
        <v>4077</v>
      </c>
      <c r="D175" t="s">
        <v>298</v>
      </c>
      <c r="E175" s="40" t="s">
        <v>4079</v>
      </c>
      <c r="F175" s="74">
        <f t="shared" si="21"/>
        <v>0</v>
      </c>
      <c r="G175" s="74" t="str">
        <f t="shared" si="22"/>
        <v>0</v>
      </c>
      <c r="I175" t="str">
        <f t="shared" si="23"/>
        <v>"Un petit crabe ou araignée mécanique qui se déplace quand il n'est pas observé": {
 "Name" : "Un petit crabe ou araignée mécanique qui se déplace quand il n'est pas observé",
 "OV" : "",
 "Category": "TRINKETS",
 "Weight" : 0,
 "Price" : 0
  }</v>
      </c>
    </row>
    <row r="176" spans="1:9">
      <c r="A176" s="295" t="s">
        <v>948</v>
      </c>
      <c r="C176" t="s">
        <v>4077</v>
      </c>
      <c r="D176" t="s">
        <v>298</v>
      </c>
      <c r="E176" s="40" t="s">
        <v>4079</v>
      </c>
      <c r="F176" s="74">
        <f t="shared" si="21"/>
        <v>0</v>
      </c>
      <c r="G176" s="74" t="str">
        <f t="shared" si="22"/>
        <v>0</v>
      </c>
      <c r="I176" t="str">
        <f t="shared" si="23"/>
        <v>"Un pot de verre contenant du lard avec une étiquette qui dit « Graisse de griffon »": {
 "Name" : "Un pot de verre contenant du lard avec une étiquette qui dit « Graisse de griffon »",
 "OV" : "",
 "Category": "TRINKETS",
 "Weight" : 0,
 "Price" : 0
  }</v>
      </c>
    </row>
    <row r="177" spans="1:9">
      <c r="A177" s="294" t="s">
        <v>949</v>
      </c>
      <c r="C177" t="s">
        <v>4077</v>
      </c>
      <c r="D177" t="s">
        <v>298</v>
      </c>
      <c r="E177" s="40" t="s">
        <v>4079</v>
      </c>
      <c r="F177" s="74">
        <f t="shared" si="21"/>
        <v>0</v>
      </c>
      <c r="G177" s="74" t="str">
        <f t="shared" si="22"/>
        <v>0</v>
      </c>
      <c r="I177" t="str">
        <f t="shared" si="23"/>
        <v>"Une boîte en bois avec un fond en céramique qui contient un ver vivant avec une tête à chaque extrémité de son corps": {
 "Name" : "Une boîte en bois avec un fond en céramique qui contient un ver vivant avec une tête à chaque extrémité de son corps",
 "OV" : "",
 "Category": "TRINKETS",
 "Weight" : 0,
 "Price" : 0
  }</v>
      </c>
    </row>
    <row r="178" spans="1:9">
      <c r="A178" s="295" t="s">
        <v>950</v>
      </c>
      <c r="C178" t="s">
        <v>4077</v>
      </c>
      <c r="D178" t="s">
        <v>298</v>
      </c>
      <c r="E178" s="40" t="s">
        <v>4079</v>
      </c>
      <c r="F178" s="74">
        <f t="shared" si="21"/>
        <v>0</v>
      </c>
      <c r="G178" s="74" t="str">
        <f t="shared" si="22"/>
        <v>0</v>
      </c>
      <c r="I178" t="str">
        <f t="shared" si="23"/>
        <v>"Une urne en métal contenant les cendres d'un héros": {
 "Name" : "Une urne en métal contenant les cendres d'un héros",
 "OV" : "",
 "Category": "TRINKETS",
 "Weight" : 0,
 "Price" : 0
  }</v>
      </c>
    </row>
    <row r="180" spans="1:9">
      <c r="H180" t="str">
        <f>CONCATENATE(I3,",
",I4,",
",I5,",
",I6,",
",I7,",
",I8,",
",I9,",
",I10,",
",I11,",
",I12,",
",I14,",
",I15,",
",I16,",
",I17,",
",I19,",
",I20,",
",I21,",
",I22,",
",I24,",
",I25,",
",I26,",
",I27,",
",I28,",
",I29,",
",I30,",
",I31,",
",I32,",
",I33,",
",I34,",
",I35,",
",I36,",
",I37,",
",I38,",
",I39,",
",I40,",
",I41,",
",I42,",
",I44,",
",I45,",
",I47,",
",I48,",
",I49,",
",I50,",
",I51,",
",I52,",
",I53,",
",I54,",
",I55,",
",I57,",
",I58,",
",I59,",
",I60,",
",I61,",
",I65,",
",I66,",
",I67,",
",I68,",
",I69,",
",I70,",
",I71,",
",I72,",
",I73,",
",I74,",
",I75,",
",I76,",
",I77,",
",I79,",
",I80,",
",I81,",
",I82,",
",I83,",
",I84,",
",I85,",
",I86,",
",I87,",
",I88,",
",I89,",
",I90,",
",I91,",
",I92,",
",I93,",
",I94,",
",I95,",
",I96,",
",I97,",
",I98,",
",I99,",
",I100,",
",)</f>
        <v xml:space="preserve">"Chalemie":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"500 g de blé": {
 "Name" : "500 g de blé",
 "OV" : "",
 "Category": "WARES",
 "Weight" : 0,
 "Price" : 1
  },
"500 g de farine ou 1 poulet": {
 "Name" : "500 g de farine ou 1 poulet",
 "OV" : "",
 "Category": "WARES",
 "Weight" : 0,
 "Price" : 2
  },
"500 g de sel": {
 "Name" : "500 g de sel",
 "OV" : "",
 "Category": "WARES",
 "Weight" : 0,
 "Price" : 5
  },
"500 g de fer ou 1 m² de toile": {
 "Name" : "500 g de fer ou 1 m² de toile",
 "OV" : "",
 "Category": "WARES",
 "Weight" : 0,
 "Price" : 10
  },
"500 g de cuivre ou 1 m² de tissu en coton": {
 "Name" : "500 g de cuivre ou 1 m² de tissu en coton",
 "OV" : "",
 "Category": "WARES",
 "Weight" : 0,
 "Price" : 50
  },
"500 g de gingembre ou 1 chèvre": {
 "Name" : "500 g de gingembre ou 1 chèvre",
 "OV" : "",
 "Category": "WARES",
 "Weight" : 0,
 "Price" : 100
  },
"500 g de cannelle ou de poivre, ou 1 mouton": {
 "Name" : "500 g de cannelle ou de poivre, ou 1 mouton",
 "OV" : "",
 "Category": "WARES",
 "Weight" : 0,
 "Price" : 200
  },
"500 g de clous de girofle ou 1 cochon": {
 "Name" : "500 g de clous de girofle ou 1 cochon",
 "OV" : "",
 "Category": "WARES",
 "Weight" : 0,
 "Price" : 300
  },
"500 g d'argent ou 1 m² de lin": {
 "Name" : "500 g d'argent ou 1 m² de lin",
 "OV" : "",
 "Category": "WARES",
 "Weight" : 0,
 "Price" : 500
  },
"1 m² de soie ou 1 vache": {
 "Name" : "1 m² de soie ou 1 vache",
 "OV" : "",
 "Category": "WARES",
 "Weight" : 0,
 "Price" : 1000
  },
"500 g de safran ou 1 boeuf": {
 "Name" : "500 g de safran ou 1 boeuf",
 "OV" : "",
 "Category": "WARES",
 "Weight" : 0,
 "Price" : 1500
  },
"500 g d'or": {
 "Name" : "500 g d'or",
 "OV" : "",
 "Category": "WARES",
 "Weight" : 0,
 "Price" : 5000
  },
"500 g de platine": {
 "Name" : "500 g de platine",
 "OV" : "",
 "Category": "WARES",
 "Weight" : 0,
 "Price" : 50000
  },
"Une main de gobelin momifiée": {
 "Name" : "Une main de gobelin momifiée",
 "OV" : "",
 "Category": "TRINKETS",
 "Weight" : 0,
 "Price" : 0
  },
"Un morceau de cristal qui brille faiblement au clair de lune": {
 "Name" : "Un morceau de cristal qui brille faiblement au clair de lune",
 "OV" : "",
 "Category": "TRINKETS",
 "Weight" : 0,
 "Price" : 0
  },
"Une pièce d'or d'une terre inconnue": {
 "Name" : "Une pièce d'or d'une terre inconnue",
 "OV" : "",
 "Category": "TRINKETS",
 "Weight" : 0,
 "Price" : 0
  },
"Un journal écrit dans une langue que vous ne connaissez pas": {
 "Name" : "Un journal écrit dans une langue que vous ne connaissez pas",
 "OV" : "",
 "Category": "TRINKETS",
 "Weight" : 0,
 "Price" : 0
  },
"Un anneau de cuivre qui ne ternit pas": {
 "Name" : "Un anneau de cuivre qui ne ternit pas",
 "OV" : "",
 "Category": "TRINKETS",
 "Weight" : 0,
 "Price" : 0
  },
"Une vieille pièce d'échecs en verre": {
 "Name" : "Une vieille pièce d'échecs en verre",
 "OV" : "",
 "Category": "TRINKETS",
 "Weight" : 0,
 "Price" : 0
  },
"Une paire de dés en osselet, chacun portant le symbole d'un crâne sur la face qui montrerait normalement le 6": {
 "Name" : "Une paire de dés en osselet, chacun portant le symbole d'un crâne sur la face qui montrerait normalement le 6",
 "OV" : "",
 "Category": "TRINKETS",
 "Weight" : 0,
 "Price" : 0
  },
"Une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
"Un collier en corde duquel pendent quatre doigts elfes momifiés": {
 "Name" : "Un collier en corde duquel pendent quatre doigts elfes momifiés",
 "OV" : "",
 "Category": "TRINKETS",
 "Weight" : 0,
 "Price" : 0
  },
"L'acte d'une parcelle de terrain d'un domaine que vous ne connaissez pas": {
 "Name" : "L'acte d'une parcelle de terrain d'un domaine que vous ne connaissez pas",
 "OV" : "",
 "Category": "TRINKETS",
 "Weight" : 0,
 "Price" : 0
  },
"Un bloc de 30 grammes d'un matériau inconnu": {
 "Name" : "Un bloc de 30 grammes d'un matériau inconnu",
 "OV" : "",
 "Category": "TRINKETS",
 "Weight" : 0,
 "Price" : 0
  },
"Une petite poupée de chiffon piquée avec des aiguilles": {
 "Name" : "Une petite poupée de chiffon piquée avec des aiguilles",
 "OV" : "",
 "Category": "TRINKETS",
 "Weight" : 0,
 "Price" : 0
  },
"Une dent d'une bête inconnue": {
 "Name" : "Une dent d'une bête inconnue",
 "OV" : "",
 "Category": "TRINKETS",
 "Weight" : 0,
 "Price" : 0
  },
"Une énorme écaille, peut-être d'un dragon": {
 "Name" : "Une énorme écaille, peut-être d'un dragon",
 "OV" : "",
 "Category": "TRINKETS",
 "Weight" : 0,
 "Price" : 0
  },
"Une plume vert clair": {
 "Name" : "Une plume vert clair",
 "OV" : "",
 "Category": "TRINKETS",
 "Weight" : 0,
 "Price" : 0
  },
"Une vieille carte de divination portant votre portrait": {
 "Name" : "Une vieille carte de divination portant votre portrait",
 "OV" : "",
 "Category": "TRINKETS",
 "Weight" : 0,
 "Price" : 0
  },
"Un orbe en verre rempli de fumée qui se déplace": {
 "Name" : "Un orbe en verre rempli de fumée qui se déplace",
 "OV" : "",
 "Category": "TRINKETS",
 "Weight" : 0,
 "Price" : 0
  },
"Un oeuf de 30 grammes avec une coque rouge vif": {
 "Name" : "Un oeuf de 30 grammes avec une coque rouge vif",
 "OV" : "",
 "Category": "TRINKETS",
 "Weight" : 0,
 "Price" : 0
  },
"Une pipe qui fait des bulles": {
 "Name" : "Une pipe qui fait des bulles",
 "OV" : "",
 "Category": "TRINKETS",
 "Weight" : 0,
 "Price" : 0
  },
"Un pot en verre contenant un morceau de chair bizarre qui flotte dans un liquide salé": {
 "Name" : "Un pot en verre contenant un morceau de chair bizarre qui flotte dans un liquide salé",
 "OV" : "",
 "Category": "TRINKETS",
 "Weight" : 0,
 "Price" : 0
  },
"Une petite boîte à musique de gnome qui joue une chanson qui vous rappelle vaguement votre enfance": {
 "Name" : "Une petite boîte à musique de gnome qui joue une chanson qui vous rappelle vaguement votre enfance",
 "OV" : "",
 "Category": "TRINKETS",
 "Weight" : 0,
 "Price" : 0
  },
"Une petite statuette en bois d'un halfelin béat": {
 "Name" : "Une petite statuette en bois d'un halfelin béat",
 "OV" : "",
 "Category": "TRINKETS",
 "Weight" : 0,
 "Price" : 0
  },
</v>
      </c>
    </row>
    <row r="181" spans="1:9">
      <c r="H181" t="str">
        <f>CONCATENATE(I101,",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f>
        <v>"Un orbe en cuivre gravé de runes étranges": {
 "Name" : "Un orbe en cuivre gravé de runes étranges",
 "OV" : "",
 "Category": "TRINKETS",
 "Weight" : 0,
 "Price" : 0
  },
"Un disque de pierre multicolore": {
 "Name" : "Un disque de pierre multicolore",
 "OV" : "",
 "Category": "TRINKETS",
 "Weight" : 0,
 "Price" : 0
  },
"Une petite icône d'argent représentant un corbeau": {
 "Name" : "Une petite icône d'argent représentant un corbeau",
 "OV" : "",
 "Category": "TRINKETS",
 "Weight" : 0,
 "Price" : 0
  },
"Un sac contenant quarante-sept dents humanoïdes, dont l'une est cariée": {
 "Name" : "Un sac contenant quarante-sept dents humanoïdes, dont l'une est cariée",
 "OV" : "",
 "Category": "TRINKETS",
 "Weight" : 0,
 "Price" : 0
  },
"Un fragment d'obsidienne qui se sent toujours chaud au toucher": {
 "Name" : "Un fragment d'obsidienne qui se sent toujours chaud au toucher",
 "OV" : "",
 "Category": "TRINKETS",
 "Weight" : 0,
 "Price" : 0
  },
"Une griffe osseuse d'un dragon suspendue à un collier de cuir lisse": {
 "Name" : "Une griffe osseuse d'un dragon suspendue à un collier de cuir lisse",
 "OV" : "",
 "Category": "TRINKETS",
 "Weight" : 0,
 "Price" : 0
  },
"Une paire de vieilles chaussettes": {
 "Name" : "Une paire de vieilles chaussettes",
 "OV" : "",
 "Category": "TRINKETS",
 "Weight" : 0,
 "Price" : 0
  },
"Un livre blanc dont les pages refusent de retenir l'encre, la craie, la graphite ou toute autre substance ou marquage": {
 "Name" : "Un livre blanc dont les pages refusent de retenir l'encre, la craie, la graphite ou toute autre substance ou marquage",
 "OV" : "",
 "Category": "TRINKETS",
 "Weight" : 0,
 "Price" : 0
  },
"Un badge en argent qui représente une étoile à cinq branches": {
 "Name" : "Un badge en argent qui représente une étoile à cinq branches",
 "OV" : "",
 "Category": "TRINKETS",
 "Weight" : 0,
 "Price" : 0
  },
"Un couteau qui appartenait à un parent": {
 "Name" : "Un couteau qui appartenait à un parent",
 "OV" : "",
 "Category": "TRINKETS",
 "Weight" : 0,
 "Price" : 0
  },
"Un flacon de verre rempli de rognures d'ongles": {
 "Name" : "Un flacon de verre rempli de rognures d'ongles",
 "OV" : "",
 "Category": "TRINKETS",
 "Weight" : 0,
 "Price" : 0
  },
"Un dispositif métallique et rectangulaire avec deux petites coupes en métal à une extrémité et qui jette des étincelles lorsqu'il est mouillé": {
 "Name" : "Un dispositif métallique et rectangulaire avec deux petites coupes en métal à une extrémité et qui jette des étincelles lorsqu'il est mouillé",
 "OV" : "",
 "Category": "TRINKETS",
 "Weight" : 0,
 "Price" : 0
  },
"Un gant blanc pailleté aux dimensions d'un humain": {
 "Name" : "Un gant blanc pailleté aux dimensions d'un humain",
 "OV" : "",
 "Category": "TRINKETS",
 "Weight" : 0,
 "Price" : 0
  },
"Une veste avec une centaine de minuscules poches": {
 "Name" : "Une veste avec une centaine de minuscules poches",
 "OV" : "",
 "Category": "TRINKETS",
 "Weight" : 0,
 "Price" : 0
  },
"Un petit bloc de pierre léger": {
 "Name" : "Un petit bloc de pierre léger",
 "OV" : "",
 "Category": "TRINKETS",
 "Weight" : 0,
 "Price" : 0
  },
"Un petit dessin qui représente le portrait d'un gobelin": {
 "Name" : "Un petit dessin qui représente le portrait d'un gobelin",
 "OV" : "",
 "Category": "TRINKETS",
 "Weight" : 0,
 "Price" : 0
  },
"Un flacon de verre vide qui sent le parfum lorsqu'il est ouvert": {
 "Name" : "Un flacon de verre vide qui sent le parfum lorsqu'il est ouvert",
 "OV" : "",
 "Category": "TRINKETS",
 "Weight" : 0,
 "Price" : 0
  },
"Une pierre précieuse qui ressemble à un morceau de charbon pour tout le monde, sauf pour vous": {
 "Name" : "Une pierre précieuse qui ressemble à un morceau de charbon pour tout le monde, sauf pour vous",
 "OV" : "",
 "Category": "TRINKETS",
 "Weight" : 0,
 "Price" : 0
  },
"Un morceau de tissu d'une vieille bannière": {
 "Name" : "Un morceau de tissu d'une vieille bannière",
 "OV" : "",
 "Category": "TRINKETS",
 "Weight" : 0,
 "Price" : 0
  },
"Un insigne de grade d'un légionnaire perdu": {
 "Name" : "Un insigne de grade d'un légionnaire perdu",
 "OV" : "",
 "Category": "TRINKETS",
 "Weight" : 0,
 "Price" : 0
  },
"Une cloche en argent minuscule et sans battant": {
 "Name" : "Une cloche en argent minuscule et sans battant",
 "OV" : "",
 "Category": "TRINKETS",
 "Weight" : 0,
 "Price" : 0
  },
"Un canari mécanique à l'intérieur d'une lampe de gnome": {
 "Name" : "Un canari mécanique à l'intérieur d'une lampe de gnome",
 "OV" : "",
 "Category": "TRINKETS",
 "Weight" : 0,
 "Price" : 0
  },
"Un petit coffre avec de nombreux pieds sculptés sur le fond": {
 "Name" : "Un petit coffre avec de nombreux pieds sculptés sur le fond",
 "OV" : "",
 "Category": "TRINKETS",
 "Weight" : 0,
 "Price" : 0
  },
"Une pixie morte à l'intérieur d'une bouteille en verre transparent": {
 "Name" : "Une pixie morte à l'intérieur d'une bouteille en verre transparent",
 "OV" : "",
 "Category": "TRINKETS",
 "Weight" : 0,
 "Price" : 0
  },
"Une boîte métallique qui n'a pas d'ouverture mais qui sonne comme si elle était remplie de liquide, de sable, d'araignées ou de verre brisé (au choix)": {
 "Name" : "Une boîte métallique qui n'a pas d'ouverture mais qui sonne comme si elle était remplie de liquide, de sable, d'araignées ou de verre brisé (au choix)",
 "OV" : "",
 "Category": "TRINKETS",
 "Weight" : 0,
 "Price" : 0
  },
"Un orbe de verre rempli d'eau, dans lequel nage un poisson rouge mécanique": {
 "Name" : "Un orbe de verre rempli d'eau, dans lequel nage un poisson rouge mécanique",
 "OV" : "",
 "Category": "TRINKETS",
 "Weight" : 0,
 "Price" : 0
  },
"Une cuillère d'argent avec un M gravé sur le manche": {
 "Name" : "Une cuillère d'argent avec un M gravé sur le manche",
 "OV" : "",
 "Category": "TRINKETS",
 "Weight" : 0,
 "Price" : 0
  },
"Un sifflet en bois de couleur or": {
 "Name" : "Un sifflet en bois de couleur or",
 "OV" : "",
 "Category": "TRINKETS",
 "Weight" : 0,
 "Price" : 0
  },
"Un scarabée mort de la taille de votre main": {
 "Name" : "Un scarabée mort de la taille de votre main",
 "OV" : "",
 "Category": "TRINKETS",
 "Weight" : 0,
 "Price" : 0
  },
"Deux soldats de plomb, l'un avec la tête manquante": {
 "Name" : "Deux soldats de plomb, l'un avec la tête manquante",
 "OV" : "",
 "Category": "TRINKETS",
 "Weight" : 0,
 "Price" : 0
  },
"Une petite boîte remplie de boutons de différentes tailles": {
 "Name" : "Une petite boîte remplie de boutons de différentes tailles",
 "OV" : "",
 "Category": "TRINKETS",
 "Weight" : 0,
 "Price" : 0
  },
"Une bougie qui ne peut pas être allumée": {
 "Name" : "Une bougie qui ne peut pas être allumée",
 "OV" : "",
 "Category": "TRINKETS",
 "Weight" : 0,
 "Price" : 0
  },
"Une petite cage sans porte": {
 "Name" : "Une petite cage sans porte",
 "OV" : "",
 "Category": "TRINKETS",
 "Weight" : 0,
 "Price" : 0
  },
"Une vieille clé": {
 "Name" : "Une vieille clé",
 "OV" : "",
 "Category": "TRINKETS",
 "Weight" : 0,
 "Price" : 0
  },
"Une carte au trésor indéchiffrable": {
 "Name" : "Une carte au trésor indéchiffrable",
 "OV" : "",
 "Category": "TRINKETS",
 "Weight" : 0,
 "Price" : 0
  },
"Une poigne d'épée brisée": {
 "Name" : "Une poigne d'épée brisée",
 "OV" : "",
 "Category": "TRINKETS",
 "Weight" : 0,
 "Price" : 0
  },
"Une patte de lapin": {
 "Name" : "Une patte de lapin",
 "OV" : "",
 "Category": "TRINKETS",
 "Weight" : 0,
 "Price" : 0
  },
"Un œil de verre": {
 "Name" : "Un œil de verre",
 "OV" : "",
 "Category": "TRINKETS",
 "Weight" : 0,
 "Price" : 0
  },
"Un camée (pendentif) sculpté à l'image d'une personne hideuse": {
 "Name" : "Un camée (pendentif) sculpté à l'image d'une personne hideuse",
 "OV" : "",
 "Category": "TRINKETS",
 "Weight" : 0,
 "Price" : 0
  },
"Un crâne en argent de la taille d'une pièce de monnaie": {
 "Name" : "Un crâne en argent de la taille d'une pièce de monnaie",
 "OV" : "",
 "Category": "TRINKETS",
 "Weight" : 0,
 "Price" : 0
  },
"Un masque d'albâtre": {
 "Name" : "Un masque d'albâtre",
 "OV" : "",
 "Category": "TRINKETS",
 "Weight" : 0,
 "Price" : 0
  },
"Une pyramide de bâtonnets d'encens noir qui sent très mauvais": {
 "Name" : "Une pyramide de bâtonnets d'encens noir qui sent très mauvais",
 "OV" : "",
 "Category": "TRINKETS",
 "Weight" : 0,
 "Price" : 0
  },
"Un bonnet de nuit qui, lorsqu'il est porté, vous donne des rêves agréables": {
 "Name" : "Un bonnet de nuit qui, lorsqu'il est porté, vous donne des rêves agréables",
 "OV" : "",
 "Category": "TRINKETS",
 "Weight" : 0,
 "Price" : 0
  },
"Une chausse-trappe unique fabriquée à partir d'un os": {
 "Name" : "Une chausse-trappe unique fabriquée à partir d'un os",
 "OV" : "",
 "Category": "TRINKETS",
 "Weight" : 0,
 "Price" : 0
  },
"Un cadre de monocle en or sans la lentille": {
 "Name" : "Un cadre de monocle en or sans la lentille",
 "OV" : "",
 "Category": "TRINKETS",
 "Weight" : 0,
 "Price" : 0
  },
"Un cube de 2 centimètres de côté, avec chaque face peinte d'une couleur différente": {
 "Name" : "Un cube de 2 centimètres de côté, avec chaque face peinte d'une couleur différente",
 "OV" : "",
 "Category": "TRINKETS",
 "Weight" : 0,
 "Price" : 0
  },
"Un bouton de porte en cristal": {
 "Name" : "Un bouton de porte en cristal",
 "OV" : "",
 "Category": "TRINKETS",
 "Weight" : 0,
 "Price" : 0
  },
"Un petit paquet rempli de poussière rose": {
 "Name" : "Un petit paquet rempli de poussière rose",
 "OV" : "",
 "Category": "TRINKETS",
 "Weight" : 0,
 "Price" : 0
  },
"Un fragment d'une belle chanson, écrite avec des notes de musique sur deux morceaux de parchemin": {
 "Name" : "Un fragment d'une belle chanson, écrite avec des notes de musique sur deux morceaux de parchemin",
 "OV" : "",
 "Category": "TRINKETS",
 "Weight" : 0,
 "Price" : 0
  },
"Une boucle d'oreille en forme de goutte d'argent faite à partir d'une vraie larme": {
 "Name" : "Une boucle d'oreille en forme de goutte d'argent faite à partir d'une vraie larme",
 "OV" : "",
 "Category": "TRINKETS",
 "Weight" : 0,
 "Price" : 0
  },
"La coquille d'un oeuf peint avec des scènes de misère humaine d'un détail troublant": {
 "Name" : "La coquille d'un oeuf peint avec des scènes de misère humaine d'un détail troublant",
 "OV" : "",
 "Category": "TRINKETS",
 "Weight" : 0,
 "Price" : 0
  },
"Un éventail qui, une fois déplié, montre un chat endormi": {
 "Name" : "Un éventail qui, une fois déplié, montre un chat endormi",
 "OV" : "",
 "Category": "TRINKETS",
 "Weight" : 0,
 "Price" : 0
  },
"Un ensemble de tubes d'os": {
 "Name" : "Un ensemble de tubes d'os",
 "OV" : "",
 "Category": "TRINKETS",
 "Weight" : 0,
 "Price" : 0
  },
"Un trèfle à quatre feuilles à l'intérieur d'un livre qui traite des bonnes manières et de l'étiquette": {
 "Name" : "Un trèfle à quatre feuilles à l'intérieur d'un livre qui traite des bonnes manières et de l'étiquette",
 "OV" : "",
 "Category": "TRINKETS",
 "Weight" : 0,
 "Price" : 0
  },
"Une feuille de parchemin sur laquelle est dessiné un engin mécanique complexe": {
 "Name" : "Une feuille de parchemin sur laquelle est dessiné un engin mécanique complexe",
 "OV" : "",
 "Category": "TRINKETS",
 "Weight" : 0,
 "Price" : 0
  },
"Un fourreau orné dans lequel à ce jour aucune lame ne rentre": {
 "Name" : "Un fourreau orné dans lequel à ce jour aucune lame ne rentre",
 "OV" : "",
 "Category": "TRINKETS",
 "Weight" : 0,
 "Price" : 0
  },
"Une invitation à une fête où un assassinat a eu lieu": {
 "Name" : "Une invitation à une fête où un assassinat a eu lieu",
 "OV" : "",
 "Category": "TRINKETS",
 "Weight" : 0,
 "Price" : 0
  },
"Un pentacle de bronze avec la gravure d'une tête de rat au centre": {
 "Name" : "Un pentacle de bronze avec la gravure d'une tête de rat au centre",
 "OV" : "",
 "Category": "TRINKETS",
 "Weight" : 0,
 "Price" : 0
  },
"Un mouchoir violet brodé avec le nom d'un puissant archimage": {
 "Name" : "Un mouchoir violet brodé avec le nom d'un puissant archimage",
 "OV" : "",
 "Category": "TRINKETS",
 "Weight" : 0,
 "Price" : 0
  },
"La moitié du plan d'un temple, d'un château, ou d'une autre structure": {
 "Name" : "La moitié du plan d'un temple, d'un château, ou d'une autre structure",
 "OV" : "",
 "Category": "TRINKETS",
 "Weight" : 0,
 "Price" : 0
  },
"Un peu de tissu plié qui, une fois déplié, se transforme en un élégant chapeau": {
 "Name" : "Un peu de tissu plié qui, une fois déplié, se transforme en un élégant chapeau",
 "OV" : "",
 "Category": "TRINKETS",
 "Weight" : 0,
 "Price" : 0
  },
"Un récépissé de dépôt dans une banque d'une ville très éloignée": {
 "Name" : "Un récépissé de dépôt dans une banque d'une ville très éloignée",
 "OV" : "",
 "Category": "TRINKETS",
 "Weight" : 0,
 "Price" : 0
  },
"Un journal avec sept pages manquantes": {
 "Name" : "Un journal avec sept pages manquantes",
 "OV" : "",
 "Category": "TRINKETS",
 "Weight" : 0,
 "Price" : 0
  },
"Une tabatière en argent vide et portant une inscription sur le dessus qui dit « rêves »": {
 "Name" : "Une tabatière en argent vide et portant une inscription sur le dessus qui dit « rêves »",
 "OV" : "",
 "Category": "TRINKETS",
 "Weight" : 0,
 "Price" : 0
  },
"Un symbole sacré en fer et consacré à un dieu inconnu": {
 "Name" : "Un symbole sacré en fer et consacré à un dieu inconnu",
 "OV" : "",
 "Category": "TRINKETS",
 "Weight" : 0,
 "Price" : 0
  },
"Un livre qui raconte l'histoire de l'ascension et la chute d'un héros légendaire, avec le dernier chapitre manquant": {
 "Name" : "Un livre qui raconte l'histoire de l'ascension et la chute d'un héros légendaire, avec le dernier chapitre manquant",
 "OV" : "",
 "Category": "TRINKETS",
 "Weight" : 0,
 "Price" : 0
  },
"Un flacon de sang de dragon": {
 "Name" : "Un flacon de sang de dragon",
 "OV" : "",
 "Category": "TRINKETS",
 "Weight" : 0,
 "Price" : 0
  },
"Une ancienne flèche de conception elfique": {
 "Name" : "Une ancienne flèche de conception elfique",
 "OV" : "",
 "Category": "TRINKETS",
 "Weight" : 0,
 "Price" : 0
  },
"Une aiguille qui ne se plie pas": {
 "Name" : "Une aiguille qui ne se plie pas",
 "OV" : "",
 "Category": "TRINKETS",
 "Weight" : 0,
 "Price" : 0
  },
"Une broche ornée de conception naine": {
 "Name" : "Une broche ornée de conception naine",
 "OV" : "",
 "Category": "TRINKETS",
 "Weight" : 0,
 "Price" : 0
  },
"Une bouteille de vin vide portant une jolie étiquette qui dit « Le magicien des vins, Cuvée du Dragon Rouge, 331422-W »": {
 "Name" : "Une bouteille de vin vide portant une jolie étiquette qui dit « Le magicien des vins, Cuvée du Dragon Rouge, 331422-W »",
 "OV" : "",
 "Category": "TRINKETS",
 "Weight" : 0,
 "Price" : 0
  },
"Un couvercle avec une mosaïque multicolore en surface": {
 "Name" : "Un couvercle avec une mosaïque multicolore en surface",
 "OV" : "",
 "Category": "TRINKETS",
 "Weight" : 0,
 "Price" : 0
  },
"Une souris pétrifiée": {
 "Name" : "Une souris pétrifiée",
 "OV" : "",
 "Category": "TRINKETS",
 "Weight" : 0,
 "Price" : 0
  },
"Un drapeau de pirate noir orné d'un crâne et des os croisés d'un dragon": {
 "Name" : "Un drapeau de pirate noir orné d'un crâne et des os croisés d'un dragon",
 "OV" : "",
 "Category": "TRINKETS",
 "Weight" : 0,
 "Price" : 0
  },
"Un petit crabe ou araignée mécanique qui se déplace quand il n'est pas observé": {
 "Name" : "Un petit crabe ou araignée mécanique qui se déplace quand il n'est pas observé",
 "OV" : "",
 "Category": "TRINKETS",
 "Weight" : 0,
 "Price" : 0
  },
"Un pot de verre contenant du lard avec une étiquette qui dit « Graisse de griffon »": {
 "Name" : "Un pot de verre contenant du lard avec une étiquette qui dit « Graisse de griffon »",
 "OV" : "",
 "Category": "TRINKETS",
 "Weight" : 0,
 "Price" : 0
  },
"Une boîte en bois avec un fond en céramique qui contient un ver vivant avec une tête à chaque extrémité de son corps": {
 "Name" : "Une boîte en bois avec un fond en céramique qui contient un ver vivant avec une tête à chaque extrémité de son corps",
 "OV" : "",
 "Category": "TRINKETS",
 "Weight" : 0,
 "Price" : 0
  },
"Une urne en métal contenant les cendres d'un héros": {
 "Name" : "Une urne en métal contenant les cendres d'un héros",
 "OV" : "",
 "Category": "TRINKETS",
 "Weight" : 0,
 "Price" : 0
  }</v>
      </c>
    </row>
    <row r="182" spans="1:9">
      <c r="H182" t="str">
        <f>CONCATENATE(H2,",
",H13,",
",H18,",
",H23,",
",H43,",
",H46,",
",H56,",
",H62,",
",H63,",
",H64,",
",H78)</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
"WARES":  {"Code": "WARES", "Name": "Marchandises", "OV": "Wares"},
"TRINKETS":  {"Code": "TRINKETS", "Name": "Babioles", "OV": "Trinkets"}</v>
      </c>
    </row>
  </sheetData>
  <phoneticPr fontId="29"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03"/>
  <sheetViews>
    <sheetView topLeftCell="A83" workbookViewId="0">
      <selection activeCell="B2" sqref="B2:B101"/>
    </sheetView>
  </sheetViews>
  <sheetFormatPr baseColWidth="10" defaultRowHeight="15"/>
  <cols>
    <col min="2" max="2" width="104.5703125" customWidth="1"/>
  </cols>
  <sheetData>
    <row r="1" spans="1:4" ht="15" customHeight="1">
      <c r="A1" s="94" t="s">
        <v>849</v>
      </c>
      <c r="B1" s="76" t="s">
        <v>850</v>
      </c>
    </row>
    <row r="2" spans="1:4" ht="15" customHeight="1">
      <c r="A2" s="90">
        <v>1</v>
      </c>
      <c r="B2" s="80" t="s">
        <v>851</v>
      </c>
      <c r="D2" t="str">
        <f t="shared" ref="D2:D33" si="0">""""&amp;A2&amp;""": {
 ""d100"" : "&amp;A2&amp;",
 ""Name"" : """&amp;B2&amp;"""
  }"</f>
        <v>"1": {
 "d100" : 1,
 "Name" : "Une main de gobelin momifiée"
  }</v>
      </c>
    </row>
    <row r="3" spans="1:4" ht="15" customHeight="1">
      <c r="A3" s="91">
        <v>2</v>
      </c>
      <c r="B3" s="78" t="s">
        <v>852</v>
      </c>
      <c r="D3" t="str">
        <f t="shared" si="0"/>
        <v>"2": {
 "d100" : 2,
 "Name" : "Un morceau de cristal qui brille faiblement au clair de lune"
  }</v>
      </c>
    </row>
    <row r="4" spans="1:4" ht="15" customHeight="1">
      <c r="A4" s="90">
        <v>3</v>
      </c>
      <c r="B4" s="80" t="s">
        <v>853</v>
      </c>
      <c r="D4" t="str">
        <f t="shared" si="0"/>
        <v>"3": {
 "d100" : 3,
 "Name" : "Une pièce d'or d'une terre inconnue"
  }</v>
      </c>
    </row>
    <row r="5" spans="1:4" ht="15" customHeight="1">
      <c r="A5" s="91">
        <v>4</v>
      </c>
      <c r="B5" s="78" t="s">
        <v>854</v>
      </c>
      <c r="D5" t="str">
        <f t="shared" si="0"/>
        <v>"4": {
 "d100" : 4,
 "Name" : "Un journal écrit dans une langue que vous ne connaissez pas"
  }</v>
      </c>
    </row>
    <row r="6" spans="1:4" ht="15" customHeight="1">
      <c r="A6" s="90">
        <v>5</v>
      </c>
      <c r="B6" s="80" t="s">
        <v>855</v>
      </c>
      <c r="D6" t="str">
        <f t="shared" si="0"/>
        <v>"5": {
 "d100" : 5,
 "Name" : "Un anneau de cuivre qui ne ternit pas"
  }</v>
      </c>
    </row>
    <row r="7" spans="1:4" ht="15" customHeight="1">
      <c r="A7" s="91">
        <v>6</v>
      </c>
      <c r="B7" s="78" t="s">
        <v>856</v>
      </c>
      <c r="D7" t="str">
        <f t="shared" si="0"/>
        <v>"6": {
 "d100" : 6,
 "Name" : "Une vieille pièce d'échecs en verre"
  }</v>
      </c>
    </row>
    <row r="8" spans="1:4" ht="14.25" customHeight="1">
      <c r="A8" s="90">
        <v>7</v>
      </c>
      <c r="B8" s="80" t="s">
        <v>857</v>
      </c>
      <c r="D8" t="str">
        <f t="shared" si="0"/>
        <v>"7": {
 "d100" : 7,
 "Name" : "Une paire de dés en osselet, chacun portant le symbole d'un crâne sur la face qui montrerait normalement le 6"
  }</v>
      </c>
    </row>
    <row r="9" spans="1:4" ht="26.25" customHeight="1">
      <c r="A9" s="91">
        <v>8</v>
      </c>
      <c r="B9" s="78" t="s">
        <v>858</v>
      </c>
      <c r="D9" t="str">
        <f t="shared" si="0"/>
        <v>"8": {
 "d100" : 8,
 "Name" : "Une petite idole représentant une créature cauchemardesque qui vous donne des rêves troublants quand vous dormez près d'elle"
  }</v>
      </c>
    </row>
    <row r="10" spans="1:4" ht="15" customHeight="1">
      <c r="A10" s="90">
        <v>9</v>
      </c>
      <c r="B10" s="80" t="s">
        <v>859</v>
      </c>
      <c r="D10" t="str">
        <f t="shared" si="0"/>
        <v>"9": {
 "d100" : 9,
 "Name" : "Un collier en corde duquel pendent quatre doigts elfes momifiés"
  }</v>
      </c>
    </row>
    <row r="11" spans="1:4" ht="15" customHeight="1">
      <c r="A11" s="91">
        <v>10</v>
      </c>
      <c r="B11" s="78" t="s">
        <v>860</v>
      </c>
      <c r="D11" t="str">
        <f t="shared" si="0"/>
        <v>"10": {
 "d100" : 10,
 "Name" : "L'acte d'une parcelle de terrain d'un domaine que vous ne connaissez pas"
  }</v>
      </c>
    </row>
    <row r="12" spans="1:4" ht="15" customHeight="1">
      <c r="A12" s="90">
        <v>11</v>
      </c>
      <c r="B12" s="80" t="s">
        <v>861</v>
      </c>
      <c r="D12" t="str">
        <f t="shared" si="0"/>
        <v>"11": {
 "d100" : 11,
 "Name" : "Un bloc de 30 grammes d'un matériau inconnu"
  }</v>
      </c>
    </row>
    <row r="13" spans="1:4" ht="15" customHeight="1">
      <c r="A13" s="91">
        <v>12</v>
      </c>
      <c r="B13" s="78" t="s">
        <v>862</v>
      </c>
      <c r="D13" t="str">
        <f t="shared" si="0"/>
        <v>"12": {
 "d100" : 12,
 "Name" : "Une petite poupée de chiffon piquée avec des aiguilles"
  }</v>
      </c>
    </row>
    <row r="14" spans="1:4" ht="15" customHeight="1">
      <c r="A14" s="90">
        <v>13</v>
      </c>
      <c r="B14" s="80" t="s">
        <v>863</v>
      </c>
      <c r="D14" t="str">
        <f t="shared" si="0"/>
        <v>"13": {
 "d100" : 13,
 "Name" : "Une dent d'une bête inconnue"
  }</v>
      </c>
    </row>
    <row r="15" spans="1:4" ht="15" customHeight="1">
      <c r="A15" s="91">
        <v>14</v>
      </c>
      <c r="B15" s="78" t="s">
        <v>864</v>
      </c>
      <c r="D15" t="str">
        <f t="shared" si="0"/>
        <v>"14": {
 "d100" : 14,
 "Name" : "Une énorme écaille, peut-être d'un dragon"
  }</v>
      </c>
    </row>
    <row r="16" spans="1:4" ht="15" customHeight="1">
      <c r="A16" s="90">
        <v>15</v>
      </c>
      <c r="B16" s="80" t="s">
        <v>865</v>
      </c>
      <c r="D16" t="str">
        <f t="shared" si="0"/>
        <v>"15": {
 "d100" : 15,
 "Name" : "Une plume vert clair"
  }</v>
      </c>
    </row>
    <row r="17" spans="1:4" ht="15" customHeight="1">
      <c r="A17" s="91">
        <v>16</v>
      </c>
      <c r="B17" s="78" t="s">
        <v>866</v>
      </c>
      <c r="D17" t="str">
        <f t="shared" si="0"/>
        <v>"16": {
 "d100" : 16,
 "Name" : "Une vieille carte de divination portant votre portrait"
  }</v>
      </c>
    </row>
    <row r="18" spans="1:4" ht="15" customHeight="1">
      <c r="A18" s="90">
        <v>17</v>
      </c>
      <c r="B18" s="80" t="s">
        <v>867</v>
      </c>
      <c r="D18" t="str">
        <f t="shared" si="0"/>
        <v>"17": {
 "d100" : 17,
 "Name" : "Un orbe en verre rempli de fumée qui se déplace"
  }</v>
      </c>
    </row>
    <row r="19" spans="1:4" ht="15" customHeight="1">
      <c r="A19" s="91">
        <v>18</v>
      </c>
      <c r="B19" s="78" t="s">
        <v>868</v>
      </c>
      <c r="D19" t="str">
        <f t="shared" si="0"/>
        <v>"18": {
 "d100" : 18,
 "Name" : "Un oeuf de 30 grammes avec une coque rouge vif"
  }</v>
      </c>
    </row>
    <row r="20" spans="1:4" ht="15" customHeight="1">
      <c r="A20" s="90">
        <v>19</v>
      </c>
      <c r="B20" s="80" t="s">
        <v>869</v>
      </c>
      <c r="D20" t="str">
        <f t="shared" si="0"/>
        <v>"19": {
 "d100" : 19,
 "Name" : "Une pipe qui fait des bulles"
  }</v>
      </c>
    </row>
    <row r="21" spans="1:4" ht="15" customHeight="1">
      <c r="A21" s="91">
        <v>20</v>
      </c>
      <c r="B21" s="78" t="s">
        <v>870</v>
      </c>
      <c r="D21" t="str">
        <f t="shared" si="0"/>
        <v>"20": {
 "d100" : 20,
 "Name" : "Un pot en verre contenant un morceau de chair bizarre qui flotte dans un liquide salé"
  }</v>
      </c>
    </row>
    <row r="22" spans="1:4" ht="15" customHeight="1">
      <c r="A22" s="90">
        <v>21</v>
      </c>
      <c r="B22" s="80" t="s">
        <v>871</v>
      </c>
      <c r="D22" t="str">
        <f t="shared" si="0"/>
        <v>"21": {
 "d100" : 21,
 "Name" : "Une petite boîte à musique de gnome qui joue une chanson qui vous rappelle vaguement votre enfance"
  }</v>
      </c>
    </row>
    <row r="23" spans="1:4" ht="15" customHeight="1">
      <c r="A23" s="91">
        <v>22</v>
      </c>
      <c r="B23" s="78" t="s">
        <v>872</v>
      </c>
      <c r="D23" t="str">
        <f t="shared" si="0"/>
        <v>"22": {
 "d100" : 22,
 "Name" : "Une petite statuette en bois d'un halfelin béat"
  }</v>
      </c>
    </row>
    <row r="24" spans="1:4" ht="15" customHeight="1">
      <c r="A24" s="90">
        <v>23</v>
      </c>
      <c r="B24" s="80" t="s">
        <v>873</v>
      </c>
      <c r="D24" t="str">
        <f t="shared" si="0"/>
        <v>"23": {
 "d100" : 23,
 "Name" : "Un orbe en cuivre gravé de runes étranges"
  }</v>
      </c>
    </row>
    <row r="25" spans="1:4" ht="15" customHeight="1">
      <c r="A25" s="91">
        <v>24</v>
      </c>
      <c r="B25" s="78" t="s">
        <v>874</v>
      </c>
      <c r="D25" t="str">
        <f t="shared" si="0"/>
        <v>"24": {
 "d100" : 24,
 "Name" : "Un disque de pierre multicolore"
  }</v>
      </c>
    </row>
    <row r="26" spans="1:4" ht="15" customHeight="1">
      <c r="A26" s="90">
        <v>25</v>
      </c>
      <c r="B26" s="80" t="s">
        <v>875</v>
      </c>
      <c r="D26" t="str">
        <f t="shared" si="0"/>
        <v>"25": {
 "d100" : 25,
 "Name" : "Une petite icône d'argent représentant un corbeau"
  }</v>
      </c>
    </row>
    <row r="27" spans="1:4" ht="15" customHeight="1">
      <c r="A27" s="91">
        <v>26</v>
      </c>
      <c r="B27" s="78" t="s">
        <v>876</v>
      </c>
      <c r="D27" t="str">
        <f t="shared" si="0"/>
        <v>"26": {
 "d100" : 26,
 "Name" : "Un sac contenant quarante-sept dents humanoïdes, dont l'une est cariée"
  }</v>
      </c>
    </row>
    <row r="28" spans="1:4" ht="15" customHeight="1">
      <c r="A28" s="90">
        <v>27</v>
      </c>
      <c r="B28" s="80" t="s">
        <v>877</v>
      </c>
      <c r="D28" t="str">
        <f t="shared" si="0"/>
        <v>"27": {
 "d100" : 27,
 "Name" : "Un fragment d'obsidienne qui se sent toujours chaud au toucher"
  }</v>
      </c>
    </row>
    <row r="29" spans="1:4" ht="15" customHeight="1">
      <c r="A29" s="91">
        <v>28</v>
      </c>
      <c r="B29" s="78" t="s">
        <v>878</v>
      </c>
      <c r="D29" t="str">
        <f t="shared" si="0"/>
        <v>"28": {
 "d100" : 28,
 "Name" : "Une griffe osseuse d'un dragon suspendue à un collier de cuir lisse"
  }</v>
      </c>
    </row>
    <row r="30" spans="1:4" ht="15" customHeight="1">
      <c r="A30" s="90">
        <v>29</v>
      </c>
      <c r="B30" s="80" t="s">
        <v>879</v>
      </c>
      <c r="D30" t="str">
        <f t="shared" si="0"/>
        <v>"29": {
 "d100" : 29,
 "Name" : "Une paire de vieilles chaussettes"
  }</v>
      </c>
    </row>
    <row r="31" spans="1:4" ht="15" customHeight="1">
      <c r="A31" s="91">
        <v>30</v>
      </c>
      <c r="B31" s="78" t="s">
        <v>880</v>
      </c>
      <c r="D31" t="str">
        <f t="shared" si="0"/>
        <v>"30": {
 "d100" : 30,
 "Name" : "Un livre blanc dont les pages refusent de retenir l'encre, la craie, la graphite ou toute autre substance ou marquage"
  }</v>
      </c>
    </row>
    <row r="32" spans="1:4" ht="15" customHeight="1">
      <c r="A32" s="90">
        <v>31</v>
      </c>
      <c r="B32" s="80" t="s">
        <v>881</v>
      </c>
      <c r="D32" t="str">
        <f t="shared" si="0"/>
        <v>"31": {
 "d100" : 31,
 "Name" : "Un badge en argent qui représente une étoile à cinq branches"
  }</v>
      </c>
    </row>
    <row r="33" spans="1:4" ht="15" customHeight="1">
      <c r="A33" s="91">
        <v>32</v>
      </c>
      <c r="B33" s="78" t="s">
        <v>882</v>
      </c>
      <c r="D33" t="str">
        <f t="shared" si="0"/>
        <v>"32": {
 "d100" : 32,
 "Name" : "Un couteau qui appartenait à un parent"
  }</v>
      </c>
    </row>
    <row r="34" spans="1:4" ht="15" customHeight="1">
      <c r="A34" s="90">
        <v>33</v>
      </c>
      <c r="B34" s="80" t="s">
        <v>883</v>
      </c>
      <c r="D34" t="str">
        <f t="shared" ref="D34:D65" si="1">""""&amp;A34&amp;""": {
 ""d100"" : "&amp;A34&amp;",
 ""Name"" : """&amp;B34&amp;"""
  }"</f>
        <v>"33": {
 "d100" : 33,
 "Name" : "Un flacon de verre rempli de rognures d'ongles"
  }</v>
      </c>
    </row>
    <row r="35" spans="1:4" ht="27.75" customHeight="1">
      <c r="A35" s="91">
        <v>34</v>
      </c>
      <c r="B35" s="78" t="s">
        <v>884</v>
      </c>
      <c r="D35" t="str">
        <f t="shared" si="1"/>
        <v>"34": {
 "d100" : 34,
 "Name" : "Un dispositif métallique et rectangulaire avec deux petites coupes en métal à une extrémité et qui jette des étincelles lorsqu'il est mouillé"
  }</v>
      </c>
    </row>
    <row r="36" spans="1:4" ht="15" customHeight="1">
      <c r="A36" s="90">
        <v>35</v>
      </c>
      <c r="B36" s="80" t="s">
        <v>885</v>
      </c>
      <c r="D36" t="str">
        <f t="shared" si="1"/>
        <v>"35": {
 "d100" : 35,
 "Name" : "Un gant blanc pailleté aux dimensions d'un humain"
  }</v>
      </c>
    </row>
    <row r="37" spans="1:4" ht="15" customHeight="1">
      <c r="A37" s="91">
        <v>36</v>
      </c>
      <c r="B37" s="78" t="s">
        <v>886</v>
      </c>
      <c r="D37" t="str">
        <f t="shared" si="1"/>
        <v>"36": {
 "d100" : 36,
 "Name" : "Une veste avec une centaine de minuscules poches"
  }</v>
      </c>
    </row>
    <row r="38" spans="1:4" ht="15" customHeight="1">
      <c r="A38" s="90">
        <v>37</v>
      </c>
      <c r="B38" s="80" t="s">
        <v>887</v>
      </c>
      <c r="D38" t="str">
        <f t="shared" si="1"/>
        <v>"37": {
 "d100" : 37,
 "Name" : "Un petit bloc de pierre léger"
  }</v>
      </c>
    </row>
    <row r="39" spans="1:4" ht="15" customHeight="1">
      <c r="A39" s="91">
        <v>38</v>
      </c>
      <c r="B39" s="78" t="s">
        <v>888</v>
      </c>
      <c r="D39" t="str">
        <f t="shared" si="1"/>
        <v>"38": {
 "d100" : 38,
 "Name" : "Un petit dessin qui représente le portrait d'un gobelin"
  }</v>
      </c>
    </row>
    <row r="40" spans="1:4" ht="15" customHeight="1">
      <c r="A40" s="90">
        <v>39</v>
      </c>
      <c r="B40" s="80" t="s">
        <v>889</v>
      </c>
      <c r="D40" t="str">
        <f t="shared" si="1"/>
        <v>"39": {
 "d100" : 39,
 "Name" : "Un flacon de verre vide qui sent le parfum lorsqu'il est ouvert"
  }</v>
      </c>
    </row>
    <row r="41" spans="1:4" ht="15" customHeight="1">
      <c r="A41" s="91">
        <v>40</v>
      </c>
      <c r="B41" s="78" t="s">
        <v>890</v>
      </c>
      <c r="D41" t="str">
        <f t="shared" si="1"/>
        <v>"40": {
 "d100" : 40,
 "Name" : "Une pierre précieuse qui ressemble à un morceau de charbon pour tout le monde, sauf pour vous"
  }</v>
      </c>
    </row>
    <row r="42" spans="1:4" ht="15" customHeight="1">
      <c r="A42" s="90">
        <v>41</v>
      </c>
      <c r="B42" s="80" t="s">
        <v>891</v>
      </c>
      <c r="D42" t="str">
        <f t="shared" si="1"/>
        <v>"41": {
 "d100" : 41,
 "Name" : "Un morceau de tissu d'une vieille bannière"
  }</v>
      </c>
    </row>
    <row r="43" spans="1:4" ht="15" customHeight="1">
      <c r="A43" s="91">
        <v>42</v>
      </c>
      <c r="B43" s="78" t="s">
        <v>892</v>
      </c>
      <c r="D43" t="str">
        <f t="shared" si="1"/>
        <v>"42": {
 "d100" : 42,
 "Name" : "Un insigne de grade d'un légionnaire perdu"
  }</v>
      </c>
    </row>
    <row r="44" spans="1:4" ht="15" customHeight="1">
      <c r="A44" s="90">
        <v>43</v>
      </c>
      <c r="B44" s="80" t="s">
        <v>893</v>
      </c>
      <c r="D44" t="str">
        <f t="shared" si="1"/>
        <v>"43": {
 "d100" : 43,
 "Name" : "Une cloche en argent minuscule et sans battant"
  }</v>
      </c>
    </row>
    <row r="45" spans="1:4" ht="15" customHeight="1">
      <c r="A45" s="91">
        <v>44</v>
      </c>
      <c r="B45" s="78" t="s">
        <v>894</v>
      </c>
      <c r="D45" t="str">
        <f t="shared" si="1"/>
        <v>"44": {
 "d100" : 44,
 "Name" : "Un canari mécanique à l'intérieur d'une lampe de gnome"
  }</v>
      </c>
    </row>
    <row r="46" spans="1:4" ht="15" customHeight="1">
      <c r="A46" s="90">
        <v>45</v>
      </c>
      <c r="B46" s="80" t="s">
        <v>895</v>
      </c>
      <c r="D46" t="str">
        <f t="shared" si="1"/>
        <v>"45": {
 "d100" : 45,
 "Name" : "Un petit coffre avec de nombreux pieds sculptés sur le fond"
  }</v>
      </c>
    </row>
    <row r="47" spans="1:4" ht="15" customHeight="1">
      <c r="A47" s="91">
        <v>46</v>
      </c>
      <c r="B47" s="78" t="s">
        <v>896</v>
      </c>
      <c r="D47" t="str">
        <f t="shared" si="1"/>
        <v>"46": {
 "d100" : 46,
 "Name" : "Une pixie morte à l'intérieur d'une bouteille en verre transparent"
  }</v>
      </c>
    </row>
    <row r="48" spans="1:4" ht="30.75" customHeight="1">
      <c r="A48" s="90">
        <v>47</v>
      </c>
      <c r="B48" s="80" t="s">
        <v>897</v>
      </c>
      <c r="D48" t="str">
        <f t="shared" si="1"/>
        <v>"47": {
 "d100" : 47,
 "Name" : "Une boîte métallique qui n'a pas d'ouverture mais qui sonne comme si elle était remplie de liquide, de sable, d'araignées ou de verre brisé (au choix)"
  }</v>
      </c>
    </row>
    <row r="49" spans="1:4" ht="15" customHeight="1">
      <c r="A49" s="91">
        <v>48</v>
      </c>
      <c r="B49" s="78" t="s">
        <v>898</v>
      </c>
      <c r="D49" t="str">
        <f t="shared" si="1"/>
        <v>"48": {
 "d100" : 48,
 "Name" : "Un orbe de verre rempli d'eau, dans lequel nage un poisson rouge mécanique"
  }</v>
      </c>
    </row>
    <row r="50" spans="1:4" ht="15" customHeight="1">
      <c r="A50" s="90">
        <v>49</v>
      </c>
      <c r="B50" s="80" t="s">
        <v>899</v>
      </c>
      <c r="D50" t="str">
        <f t="shared" si="1"/>
        <v>"49": {
 "d100" : 49,
 "Name" : "Une cuillère d'argent avec un M gravé sur le manche"
  }</v>
      </c>
    </row>
    <row r="51" spans="1:4" ht="15" customHeight="1">
      <c r="A51" s="91">
        <v>50</v>
      </c>
      <c r="B51" s="78" t="s">
        <v>900</v>
      </c>
      <c r="D51" t="str">
        <f t="shared" si="1"/>
        <v>"50": {
 "d100" : 50,
 "Name" : "Un sifflet en bois de couleur or"
  }</v>
      </c>
    </row>
    <row r="52" spans="1:4" ht="15" customHeight="1">
      <c r="A52" s="90">
        <v>51</v>
      </c>
      <c r="B52" s="80" t="s">
        <v>901</v>
      </c>
      <c r="D52" t="str">
        <f t="shared" si="1"/>
        <v>"51": {
 "d100" : 51,
 "Name" : "Un scarabée mort de la taille de votre main"
  }</v>
      </c>
    </row>
    <row r="53" spans="1:4" ht="15" customHeight="1">
      <c r="A53" s="91">
        <v>52</v>
      </c>
      <c r="B53" s="78" t="s">
        <v>902</v>
      </c>
      <c r="D53" t="str">
        <f t="shared" si="1"/>
        <v>"52": {
 "d100" : 52,
 "Name" : "Deux soldats de plomb, l'un avec la tête manquante"
  }</v>
      </c>
    </row>
    <row r="54" spans="1:4" ht="15" customHeight="1">
      <c r="A54" s="90">
        <v>53</v>
      </c>
      <c r="B54" s="80" t="s">
        <v>903</v>
      </c>
      <c r="D54" t="str">
        <f t="shared" si="1"/>
        <v>"53": {
 "d100" : 53,
 "Name" : "Une petite boîte remplie de boutons de différentes tailles"
  }</v>
      </c>
    </row>
    <row r="55" spans="1:4" ht="15" customHeight="1">
      <c r="A55" s="91">
        <v>54</v>
      </c>
      <c r="B55" s="78" t="s">
        <v>904</v>
      </c>
      <c r="D55" t="str">
        <f t="shared" si="1"/>
        <v>"54": {
 "d100" : 54,
 "Name" : "Une bougie qui ne peut pas être allumée"
  }</v>
      </c>
    </row>
    <row r="56" spans="1:4" ht="15" customHeight="1">
      <c r="A56" s="90">
        <v>55</v>
      </c>
      <c r="B56" s="80" t="s">
        <v>905</v>
      </c>
      <c r="D56" t="str">
        <f t="shared" si="1"/>
        <v>"55": {
 "d100" : 55,
 "Name" : "Une petite cage sans porte"
  }</v>
      </c>
    </row>
    <row r="57" spans="1:4" ht="15" customHeight="1">
      <c r="A57" s="91">
        <v>56</v>
      </c>
      <c r="B57" s="78" t="s">
        <v>906</v>
      </c>
      <c r="D57" t="str">
        <f t="shared" si="1"/>
        <v>"56": {
 "d100" : 56,
 "Name" : "Une vieille clé"
  }</v>
      </c>
    </row>
    <row r="58" spans="1:4" ht="15" customHeight="1">
      <c r="A58" s="90">
        <v>57</v>
      </c>
      <c r="B58" s="80" t="s">
        <v>907</v>
      </c>
      <c r="D58" t="str">
        <f t="shared" si="1"/>
        <v>"57": {
 "d100" : 57,
 "Name" : "Une carte au trésor indéchiffrable"
  }</v>
      </c>
    </row>
    <row r="59" spans="1:4" ht="15" customHeight="1">
      <c r="A59" s="91">
        <v>58</v>
      </c>
      <c r="B59" s="78" t="s">
        <v>908</v>
      </c>
      <c r="D59" t="str">
        <f t="shared" si="1"/>
        <v>"58": {
 "d100" : 58,
 "Name" : "Une poigne d'épée brisée"
  }</v>
      </c>
    </row>
    <row r="60" spans="1:4" ht="15" customHeight="1">
      <c r="A60" s="90">
        <v>59</v>
      </c>
      <c r="B60" s="80" t="s">
        <v>909</v>
      </c>
      <c r="D60" t="str">
        <f t="shared" si="1"/>
        <v>"59": {
 "d100" : 59,
 "Name" : "Une patte de lapin"
  }</v>
      </c>
    </row>
    <row r="61" spans="1:4" ht="15" customHeight="1">
      <c r="A61" s="91">
        <v>60</v>
      </c>
      <c r="B61" s="78" t="s">
        <v>910</v>
      </c>
      <c r="D61" t="str">
        <f t="shared" si="1"/>
        <v>"60": {
 "d100" : 60,
 "Name" : "Un œil de verre"
  }</v>
      </c>
    </row>
    <row r="62" spans="1:4" ht="15" customHeight="1">
      <c r="A62" s="90">
        <v>61</v>
      </c>
      <c r="B62" s="80" t="s">
        <v>911</v>
      </c>
      <c r="D62" t="str">
        <f t="shared" si="1"/>
        <v>"61": {
 "d100" : 61,
 "Name" : "Un camée (pendentif) sculpté à l'image d'une personne hideuse"
  }</v>
      </c>
    </row>
    <row r="63" spans="1:4" ht="15" customHeight="1">
      <c r="A63" s="91">
        <v>62</v>
      </c>
      <c r="B63" s="78" t="s">
        <v>912</v>
      </c>
      <c r="D63" t="str">
        <f t="shared" si="1"/>
        <v>"62": {
 "d100" : 62,
 "Name" : "Un crâne en argent de la taille d'une pièce de monnaie"
  }</v>
      </c>
    </row>
    <row r="64" spans="1:4" ht="15" customHeight="1">
      <c r="A64" s="90">
        <v>63</v>
      </c>
      <c r="B64" s="80" t="s">
        <v>913</v>
      </c>
      <c r="D64" t="str">
        <f t="shared" si="1"/>
        <v>"63": {
 "d100" : 63,
 "Name" : "Un masque d'albâtre"
  }</v>
      </c>
    </row>
    <row r="65" spans="1:4" ht="15" customHeight="1">
      <c r="A65" s="91">
        <v>64</v>
      </c>
      <c r="B65" s="78" t="s">
        <v>914</v>
      </c>
      <c r="D65" t="str">
        <f t="shared" si="1"/>
        <v>"64": {
 "d100" : 64,
 "Name" : "Une pyramide de bâtonnets d'encens noir qui sent très mauvais"
  }</v>
      </c>
    </row>
    <row r="66" spans="1:4" ht="15" customHeight="1">
      <c r="A66" s="90">
        <v>65</v>
      </c>
      <c r="B66" s="80" t="s">
        <v>915</v>
      </c>
      <c r="D66" t="str">
        <f t="shared" ref="D66:D101" si="2">""""&amp;A66&amp;""": {
 ""d100"" : "&amp;A66&amp;",
 ""Name"" : """&amp;B66&amp;"""
  }"</f>
        <v>"65": {
 "d100" : 65,
 "Name" : "Un bonnet de nuit qui, lorsqu'il est porté, vous donne des rêves agréables"
  }</v>
      </c>
    </row>
    <row r="67" spans="1:4" ht="15" customHeight="1">
      <c r="A67" s="91">
        <v>66</v>
      </c>
      <c r="B67" s="78" t="s">
        <v>916</v>
      </c>
      <c r="D67" t="str">
        <f t="shared" si="2"/>
        <v>"66": {
 "d100" : 66,
 "Name" : "Une chausse-trappe unique fabriquée à partir d'un os"
  }</v>
      </c>
    </row>
    <row r="68" spans="1:4" ht="15" customHeight="1">
      <c r="A68" s="90">
        <v>67</v>
      </c>
      <c r="B68" s="80" t="s">
        <v>917</v>
      </c>
      <c r="D68" t="str">
        <f t="shared" si="2"/>
        <v>"67": {
 "d100" : 67,
 "Name" : "Un cadre de monocle en or sans la lentille"
  }</v>
      </c>
    </row>
    <row r="69" spans="1:4" ht="15" customHeight="1">
      <c r="A69" s="91">
        <v>68</v>
      </c>
      <c r="B69" s="78" t="s">
        <v>918</v>
      </c>
      <c r="D69" t="str">
        <f t="shared" si="2"/>
        <v>"68": {
 "d100" : 68,
 "Name" : "Un cube de 2 centimètres de côté, avec chaque face peinte d'une couleur différente"
  }</v>
      </c>
    </row>
    <row r="70" spans="1:4" ht="15" customHeight="1">
      <c r="A70" s="90">
        <v>69</v>
      </c>
      <c r="B70" s="80" t="s">
        <v>919</v>
      </c>
      <c r="D70" t="str">
        <f t="shared" si="2"/>
        <v>"69": {
 "d100" : 69,
 "Name" : "Un bouton de porte en cristal"
  }</v>
      </c>
    </row>
    <row r="71" spans="1:4" ht="15" customHeight="1">
      <c r="A71" s="91">
        <v>70</v>
      </c>
      <c r="B71" s="78" t="s">
        <v>920</v>
      </c>
      <c r="D71" t="str">
        <f t="shared" si="2"/>
        <v>"70": {
 "d100" : 70,
 "Name" : "Un petit paquet rempli de poussière rose"
  }</v>
      </c>
    </row>
    <row r="72" spans="1:4" ht="15" customHeight="1">
      <c r="A72" s="90">
        <v>71</v>
      </c>
      <c r="B72" s="80" t="s">
        <v>921</v>
      </c>
      <c r="D72" t="str">
        <f t="shared" si="2"/>
        <v>"71": {
 "d100" : 71,
 "Name" : "Un fragment d'une belle chanson, écrite avec des notes de musique sur deux morceaux de parchemin"
  }</v>
      </c>
    </row>
    <row r="73" spans="1:4" ht="15" customHeight="1">
      <c r="A73" s="91">
        <v>72</v>
      </c>
      <c r="B73" s="78" t="s">
        <v>922</v>
      </c>
      <c r="D73" t="str">
        <f t="shared" si="2"/>
        <v>"72": {
 "d100" : 72,
 "Name" : "Une boucle d'oreille en forme de goutte d'argent faite à partir d'une vraie larme"
  }</v>
      </c>
    </row>
    <row r="74" spans="1:4" ht="15" customHeight="1">
      <c r="A74" s="90">
        <v>73</v>
      </c>
      <c r="B74" s="80" t="s">
        <v>923</v>
      </c>
      <c r="D74" t="str">
        <f t="shared" si="2"/>
        <v>"73": {
 "d100" : 73,
 "Name" : "La coquille d'un oeuf peint avec des scènes de misère humaine d'un détail troublant"
  }</v>
      </c>
    </row>
    <row r="75" spans="1:4" ht="15" customHeight="1">
      <c r="A75" s="91">
        <v>74</v>
      </c>
      <c r="B75" s="78" t="s">
        <v>924</v>
      </c>
      <c r="D75" t="str">
        <f t="shared" si="2"/>
        <v>"74": {
 "d100" : 74,
 "Name" : "Un éventail qui, une fois déplié, montre un chat endormi"
  }</v>
      </c>
    </row>
    <row r="76" spans="1:4" ht="15" customHeight="1">
      <c r="A76" s="90">
        <v>75</v>
      </c>
      <c r="B76" s="80" t="s">
        <v>925</v>
      </c>
      <c r="D76" t="str">
        <f t="shared" si="2"/>
        <v>"75": {
 "d100" : 75,
 "Name" : "Un ensemble de tubes d'os"
  }</v>
      </c>
    </row>
    <row r="77" spans="1:4" ht="15" customHeight="1">
      <c r="A77" s="91">
        <v>76</v>
      </c>
      <c r="B77" s="78" t="s">
        <v>926</v>
      </c>
      <c r="D77" t="str">
        <f t="shared" si="2"/>
        <v>"76": {
 "d100" : 76,
 "Name" : "Un trèfle à quatre feuilles à l'intérieur d'un livre qui traite des bonnes manières et de l'étiquette"
  }</v>
      </c>
    </row>
    <row r="78" spans="1:4" ht="15" customHeight="1">
      <c r="A78" s="90">
        <v>77</v>
      </c>
      <c r="B78" s="80" t="s">
        <v>927</v>
      </c>
      <c r="D78" t="str">
        <f t="shared" si="2"/>
        <v>"77": {
 "d100" : 77,
 "Name" : "Une feuille de parchemin sur laquelle est dessiné un engin mécanique complexe"
  }</v>
      </c>
    </row>
    <row r="79" spans="1:4" ht="15" customHeight="1">
      <c r="A79" s="91">
        <v>78</v>
      </c>
      <c r="B79" s="78" t="s">
        <v>928</v>
      </c>
      <c r="D79" t="str">
        <f t="shared" si="2"/>
        <v>"78": {
 "d100" : 78,
 "Name" : "Un fourreau orné dans lequel à ce jour aucune lame ne rentre"
  }</v>
      </c>
    </row>
    <row r="80" spans="1:4" ht="15" customHeight="1">
      <c r="A80" s="90">
        <v>79</v>
      </c>
      <c r="B80" s="80" t="s">
        <v>929</v>
      </c>
      <c r="D80" t="str">
        <f t="shared" si="2"/>
        <v>"79": {
 "d100" : 79,
 "Name" : "Une invitation à une fête où un assassinat a eu lieu"
  }</v>
      </c>
    </row>
    <row r="81" spans="1:4" ht="15" customHeight="1">
      <c r="A81" s="91">
        <v>80</v>
      </c>
      <c r="B81" s="78" t="s">
        <v>930</v>
      </c>
      <c r="D81" t="str">
        <f t="shared" si="2"/>
        <v>"80": {
 "d100" : 80,
 "Name" : "Un pentacle de bronze avec la gravure d'une tête de rat au centre"
  }</v>
      </c>
    </row>
    <row r="82" spans="1:4" ht="15" customHeight="1">
      <c r="A82" s="90">
        <v>81</v>
      </c>
      <c r="B82" s="80" t="s">
        <v>931</v>
      </c>
      <c r="D82" t="str">
        <f t="shared" si="2"/>
        <v>"81": {
 "d100" : 81,
 "Name" : "Un mouchoir violet brodé avec le nom d'un puissant archimage"
  }</v>
      </c>
    </row>
    <row r="83" spans="1:4" ht="15" customHeight="1">
      <c r="A83" s="91">
        <v>82</v>
      </c>
      <c r="B83" s="78" t="s">
        <v>932</v>
      </c>
      <c r="D83" t="str">
        <f t="shared" si="2"/>
        <v>"82": {
 "d100" : 82,
 "Name" : "La moitié du plan d'un temple, d'un château, ou d'une autre structure"
  }</v>
      </c>
    </row>
    <row r="84" spans="1:4" ht="15" customHeight="1">
      <c r="A84" s="90">
        <v>83</v>
      </c>
      <c r="B84" s="80" t="s">
        <v>933</v>
      </c>
      <c r="D84" t="str">
        <f t="shared" si="2"/>
        <v>"83": {
 "d100" : 83,
 "Name" : "Un peu de tissu plié qui, une fois déplié, se transforme en un élégant chapeau"
  }</v>
      </c>
    </row>
    <row r="85" spans="1:4" ht="15" customHeight="1">
      <c r="A85" s="91">
        <v>84</v>
      </c>
      <c r="B85" s="78" t="s">
        <v>934</v>
      </c>
      <c r="D85" t="str">
        <f t="shared" si="2"/>
        <v>"84": {
 "d100" : 84,
 "Name" : "Un récépissé de dépôt dans une banque d'une ville très éloignée"
  }</v>
      </c>
    </row>
    <row r="86" spans="1:4" ht="15" customHeight="1">
      <c r="A86" s="90">
        <v>85</v>
      </c>
      <c r="B86" s="80" t="s">
        <v>935</v>
      </c>
      <c r="D86" t="str">
        <f t="shared" si="2"/>
        <v>"85": {
 "d100" : 85,
 "Name" : "Un journal avec sept pages manquantes"
  }</v>
      </c>
    </row>
    <row r="87" spans="1:4" ht="15" customHeight="1">
      <c r="A87" s="91">
        <v>86</v>
      </c>
      <c r="B87" s="78" t="s">
        <v>936</v>
      </c>
      <c r="D87" t="str">
        <f t="shared" si="2"/>
        <v>"86": {
 "d100" : 86,
 "Name" : "Une tabatière en argent vide et portant une inscription sur le dessus qui dit « rêves »"
  }</v>
      </c>
    </row>
    <row r="88" spans="1:4" ht="15" customHeight="1">
      <c r="A88" s="90">
        <v>87</v>
      </c>
      <c r="B88" s="80" t="s">
        <v>937</v>
      </c>
      <c r="D88" t="str">
        <f t="shared" si="2"/>
        <v>"87": {
 "d100" : 87,
 "Name" : "Un symbole sacré en fer et consacré à un dieu inconnu"
  }</v>
      </c>
    </row>
    <row r="89" spans="1:4" ht="15" customHeight="1">
      <c r="A89" s="91">
        <v>88</v>
      </c>
      <c r="B89" s="78" t="s">
        <v>938</v>
      </c>
      <c r="D89" t="str">
        <f t="shared" si="2"/>
        <v>"88": {
 "d100" : 88,
 "Name" : "Un livre qui raconte l'histoire de l'ascension et la chute d'un héros légendaire, avec le dernier chapitre manquant"
  }</v>
      </c>
    </row>
    <row r="90" spans="1:4" ht="15" customHeight="1">
      <c r="A90" s="90">
        <v>89</v>
      </c>
      <c r="B90" s="80" t="s">
        <v>939</v>
      </c>
      <c r="D90" t="str">
        <f t="shared" si="2"/>
        <v>"89": {
 "d100" : 89,
 "Name" : "Un flacon de sang de dragon"
  }</v>
      </c>
    </row>
    <row r="91" spans="1:4" ht="15" customHeight="1">
      <c r="A91" s="91">
        <v>90</v>
      </c>
      <c r="B91" s="78" t="s">
        <v>940</v>
      </c>
      <c r="D91" t="str">
        <f t="shared" si="2"/>
        <v>"90": {
 "d100" : 90,
 "Name" : "Une ancienne flèche de conception elfique"
  }</v>
      </c>
    </row>
    <row r="92" spans="1:4" ht="15" customHeight="1">
      <c r="A92" s="90">
        <v>91</v>
      </c>
      <c r="B92" s="80" t="s">
        <v>941</v>
      </c>
      <c r="D92" t="str">
        <f t="shared" si="2"/>
        <v>"91": {
 "d100" : 91,
 "Name" : "Une aiguille qui ne se plie pas"
  }</v>
      </c>
    </row>
    <row r="93" spans="1:4" ht="15" customHeight="1">
      <c r="A93" s="91">
        <v>92</v>
      </c>
      <c r="B93" s="78" t="s">
        <v>942</v>
      </c>
      <c r="D93" t="str">
        <f t="shared" si="2"/>
        <v>"92": {
 "d100" : 92,
 "Name" : "Une broche ornée de conception naine"
  }</v>
      </c>
    </row>
    <row r="94" spans="1:4" ht="15.75" customHeight="1">
      <c r="A94" s="90">
        <v>93</v>
      </c>
      <c r="B94" s="80" t="s">
        <v>943</v>
      </c>
      <c r="D94" t="str">
        <f t="shared" si="2"/>
        <v>"93": {
 "d100" : 93,
 "Name" : "Une bouteille de vin vide portant une jolie étiquette qui dit « Le magicien des vins, Cuvée du Dragon Rouge, 331422-W »"
  }</v>
      </c>
    </row>
    <row r="95" spans="1:4" ht="15" customHeight="1">
      <c r="A95" s="91">
        <v>94</v>
      </c>
      <c r="B95" s="78" t="s">
        <v>944</v>
      </c>
      <c r="D95" t="str">
        <f t="shared" si="2"/>
        <v>"94": {
 "d100" : 94,
 "Name" : "Un couvercle avec une mosaïque multicolore en surface"
  }</v>
      </c>
    </row>
    <row r="96" spans="1:4" ht="15" customHeight="1">
      <c r="A96" s="90">
        <v>95</v>
      </c>
      <c r="B96" s="80" t="s">
        <v>945</v>
      </c>
      <c r="D96" t="str">
        <f t="shared" si="2"/>
        <v>"95": {
 "d100" : 95,
 "Name" : "Une souris pétrifiée"
  }</v>
      </c>
    </row>
    <row r="97" spans="1:4" ht="15" customHeight="1">
      <c r="A97" s="91">
        <v>96</v>
      </c>
      <c r="B97" s="78" t="s">
        <v>946</v>
      </c>
      <c r="D97" t="str">
        <f t="shared" si="2"/>
        <v>"96": {
 "d100" : 96,
 "Name" : "Un drapeau de pirate noir orné d'un crâne et des os croisés d'un dragon"
  }</v>
      </c>
    </row>
    <row r="98" spans="1:4" ht="15" customHeight="1">
      <c r="A98" s="90">
        <v>97</v>
      </c>
      <c r="B98" s="80" t="s">
        <v>947</v>
      </c>
      <c r="D98" t="str">
        <f t="shared" si="2"/>
        <v>"97": {
 "d100" : 97,
 "Name" : "Un petit crabe ou araignée mécanique qui se déplace quand il n'est pas observé"
  }</v>
      </c>
    </row>
    <row r="99" spans="1:4" ht="15" customHeight="1">
      <c r="A99" s="91">
        <v>98</v>
      </c>
      <c r="B99" s="78" t="s">
        <v>948</v>
      </c>
      <c r="D99" t="str">
        <f t="shared" si="2"/>
        <v>"98": {
 "d100" : 98,
 "Name" : "Un pot de verre contenant du lard avec une étiquette qui dit « Graisse de griffon »"
  }</v>
      </c>
    </row>
    <row r="100" spans="1:4" ht="15" customHeight="1">
      <c r="A100" s="90">
        <v>99</v>
      </c>
      <c r="B100" s="80" t="s">
        <v>949</v>
      </c>
      <c r="D100" t="str">
        <f t="shared" si="2"/>
        <v>"99": {
 "d100" : 99,
 "Name" : "Une boîte en bois avec un fond en céramique qui contient un ver vivant avec une tête à chaque extrémité de son corps"
  }</v>
      </c>
    </row>
    <row r="101" spans="1:4" ht="15" customHeight="1">
      <c r="A101" s="91">
        <v>100</v>
      </c>
      <c r="B101" s="78" t="s">
        <v>950</v>
      </c>
      <c r="D101" t="str">
        <f t="shared" si="2"/>
        <v>"100": {
 "d100" : 100,
 "Name"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"Name" : "Une main de gobelin momifiée"
  },
"2": {
 "d100" : 2,
 "Name" : "Un morceau de cristal qui brille faiblement au clair de lune"
  },
"3": {
 "d100" : 3,
 "Name" : "Une pièce d'or d'une terre inconnue"
  },
"4": {
 "d100" : 4,
 "Name" : "Un journal écrit dans une langue que vous ne connaissez pas"
  },
"5": {
 "d100" : 5,
 "Name" : "Un anneau de cuivre qui ne ternit pas"
  },
"6": {
 "d100" : 6,
 "Name" : "Une vieille pièce d'échecs en verre"
  },
"7": {
 "d100" : 7,
 "Name" : "Une paire de dés en osselet, chacun portant le symbole d'un crâne sur la face qui montrerait normalement le 6"
  },
"8": {
 "d100" : 8,
 "Name" : "Une petite idole représentant une créature cauchemardesque qui vous donne des rêves troublants quand vous dormez près d'elle"
  },
"9": {
 "d100" : 9,
 "Name" : "Un collier en corde duquel pendent quatre doigts elfes momifiés"
  },
"10": {
 "d100" : 10,
 "Name" : "L'acte d'une parcelle de terrain d'un domaine que vous ne connaissez pas"
  },
"11": {
 "d100" : 11,
 "Name" : "Un bloc de 30 grammes d'un matériau inconnu"
  },
"12": {
 "d100" : 12,
 "Name" : "Une petite poupée de chiffon piquée avec des aiguilles"
  },
"13": {
 "d100" : 13,
 "Name" : "Une dent d'une bête inconnue"
  },
"14": {
 "d100" : 14,
 "Name" : "Une énorme écaille, peut-être d'un dragon"
  },
"15": {
 "d100" : 15,
 "Name" : "Une plume vert clair"
  },
"16": {
 "d100" : 16,
 "Name" : "Une vieille carte de divination portant votre portrait"
  },
"17": {
 "d100" : 17,
 "Name" : "Un orbe en verre rempli de fumée qui se déplace"
  },
"18": {
 "d100" : 18,
 "Name" : "Un oeuf de 30 grammes avec une coque rouge vif"
  },
"19": {
 "d100" : 19,
 "Name" : "Une pipe qui fait des bulles"
  },
"20": {
 "d100" : 20,
 "Name" : "Un pot en verre contenant un morceau de chair bizarre qui flotte dans un liquide salé"
  },
"21": {
 "d100" : 21,
 "Name" : "Une petite boîte à musique de gnome qui joue une chanson qui vous rappelle vaguement votre enfance"
  },
"22": {
 "d100" : 22,
 "Name" : "Une petite statuette en bois d'un halfelin béat"
  },
"23": {
 "d100" : 23,
 "Name" : "Un orbe en cuivre gravé de runes étranges"
  },
"24": {
 "d100" : 24,
 "Name" : "Un disque de pierre multicolore"
  },
"25": {
 "d100" : 25,
 "Name" : "Une petite icône d'argent représentant un corbeau"
  },
"26": {
 "d100" : 26,
 "Name" : "Un sac contenant quarante-sept dents humanoïdes, dont l'une est cariée"
  },
"27": {
 "d100" : 27,
 "Name" : "Un fragment d'obsidienne qui se sent toujours chaud au toucher"
  },
"28": {
 "d100" : 28,
 "Name" : "Une griffe osseuse d'un dragon suspendue à un collier de cuir lisse"
  },
"29": {
 "d100" : 29,
 "Name" : "Une paire de vieilles chaussettes"
  },
"30": {
 "d100" : 30,
 "Name" : "Un livre blanc dont les pages refusent de retenir l'encre, la craie, la graphite ou toute autre substance ou marquage"
  },
"31": {
 "d100" : 31,
 "Name" : "Un badge en argent qui représente une étoile à cinq branches"
  },
"32": {
 "d100" : 32,
 "Name" : "Un couteau qui appartenait à un parent"
  },
"33": {
 "d100" : 33,
 "Name" : "Un flacon de verre rempli de rognures d'ongles"
  },
"34": {
 "d100" : 34,
 "Name" : "Un dispositif métallique et rectangulaire avec deux petites coupes en métal à une extrémité et qui jette des étincelles lorsqu'il est mouillé"
  },
"35": {
 "d100" : 35,
 "Name" : "Un gant blanc pailleté aux dimensions d'un humain"
  },
"36": {
 "d100" : 36,
 "Name" : "Une veste avec une centaine de minuscules poches"
  },
"37": {
 "d100" : 37,
 "Name" : "Un petit bloc de pierre léger"
  },
"38": {
 "d100" : 38,
 "Name" : "Un petit dessin qui représente le portrait d'un gobelin"
  },
"39": {
 "d100" : 39,
 "Name" : "Un flacon de verre vide qui sent le parfum lorsqu'il est ouvert"
  },
"40": {
 "d100" : 40,
 "Name" : "Une pierre précieuse qui ressemble à un morceau de charbon pour tout le monde, sauf pour vous"
  },
"41": {
 "d100" : 41,
 "Name" : "Un morceau de tissu d'une vieille bannière"
  },
"42": {
 "d100" : 42,
 "Name" : "Un insigne de grade d'un légionnaire perdu"
  },
"43": {
 "d100" : 43,
 "Name" : "Une cloche en argent minuscule et sans battant"
  },
"44": {
 "d100" : 44,
 "Name" : "Un canari mécanique à l'intérieur d'une lampe de gnome"
  },
"45": {
 "d100" : 45,
 "Name" : "Un petit coffre avec de nombreux pieds sculptés sur le fond"
  },
"46": {
 "d100" : 46,
 "Name" : "Une pixie morte à l'intérieur d'une bouteille en verre transparent"
  },
"47": {
 "d100" : 47,
 "Name" : "Une boîte métallique qui n'a pas d'ouverture mais qui sonne comme si elle était remplie de liquide, de sable, d'araignées ou de verre brisé (au choix)"
  },
"48": {
 "d100" : 48,
 "Name" : "Un orbe de verre rempli d'eau, dans lequel nage un poisson rouge mécanique"
  },
"49": {
 "d100" : 49,
 "Name" : "Une cuillère d'argent avec un M gravé sur le manche"
  },
"50": {
 "d100" : 50,
 "Name" : "Un sifflet en bois de couleur or"
  },
"51": {
 "d100" : 51,
 "Name" : "Un scarabée mort de la taille de votre main"
  },
"52": {
 "d100" : 52,
 "Name" : "Deux soldats de plomb, l'un avec la tête manquante"
  },
"53": {
 "d100" : 53,
 "Name" : "Une petite boîte remplie de boutons de différentes tailles"
  },
"54": {
 "d100" : 54,
 "Name" : "Une bougie qui ne peut pas être allumée"
  },
"55": {
 "d100" : 55,
 "Name" : "Une petite cage sans porte"
  },
"56": {
 "d100" : 56,
 "Name" : "Une vieille clé"
  },
"57": {
 "d100" : 57,
 "Name" : "Une carte au trésor indéchiffrable"
  },
"58": {
 "d100" : 58,
 "Name" : "Une poigne d'épée brisée"
  },
"59": {
 "d100" : 59,
 "Name" : "Une patte de lapin"
  },
"60": {
 "d100" : 60,
 "Name" : "Un œil de verre"
  },
"61": {
 "d100" : 61,
 "Name" : "Un camée (pendentif) sculpté à l'image d'une personne hideuse"
  },
"62": {
 "d100" : 62,
 "Name" : "Un crâne en argent de la taille d'une pièce de monnaie"
  },
"63": {
 "d100" : 63,
 "Name" : "Un masque d'albâtre"
  },
"64": {
 "d100" : 64,
 "Name" : "Une pyramide de bâtonnets d'encens noir qui sent très mauvais"
  },
"65": {
 "d100" : 65,
 "Name" : "Un bonnet de nuit qui, lorsqu'il est porté, vous donne des rêves agréables"
  },
"66": {
 "d100" : 66,
 "Name" : "Une chausse-trappe unique fabriquée à partir d'un os"
  },
"67": {
 "d100" : 67,
 "Name" : "Un cadre de monocle en or sans la lentille"
  },
"68": {
 "d100" : 68,
 "Name" : "Un cube de 2 centimètres de côté, avec chaque face peinte d'une couleur différente"
  },
"69": {
 "d100" : 69,
 "Name" : "Un bouton de porte en cristal"
  },
"70": {
 "d100" : 70,
 "Name" : "Un petit paquet rempli de poussière rose"
  },
"71": {
 "d100" : 71,
 "Name" : "Un fragment d'une belle chanson, écrite avec des notes de musique sur deux morceaux de parchemin"
  },
"72": {
 "d100" : 72,
 "Name" : "Une boucle d'oreille en forme de goutte d'argent faite à partir d'une vraie larme"
  },
"73": {
 "d100" : 73,
 "Name" : "La coquille d'un oeuf peint avec des scènes de misère humaine d'un détail troublant"
  },
"74": {
 "d100" : 74,
 "Name" : "Un éventail qui, une fois déplié, montre un chat endormi"
  },
"75": {
 "d100" : 75,
 "Name" : "Un ensemble de tubes d'os"
  },
"76": {
 "d100" : 76,
 "Name" : "Un trèfle à quatre feuilles à l'intérieur d'un livre qui traite des bonnes manières et de l'étiquette"
  },
"77": {
 "d100" : 77,
 "Name" : "Une feuille de parchemin sur laquelle est dessiné un engin mécanique complexe"
  },
"78": {
 "d100" : 78,
 "Name" : "Un fourreau orné dans lequel à ce jour aucune lame ne rentre"
  },
"79": {
 "d100" : 79,
 "Name" : "Une invitation à une fête où un assassinat a eu lieu"
  },
"80": {
 "d100" : 80,
 "Name" : "Un pentacle de bronze avec la gravure d'une tête de rat au centre"
  },
"81": {
 "d100" : 81,
 "Name" : "Un mouchoir violet brodé avec le nom d'un puissant archimage"
  },
"82": {
 "d100" : 82,
 "Name" : "La moitié du plan d'un temple, d'un château, ou d'une autre structure"
  },
"83": {
 "d100" : 83,
 "Name" : "Un peu de tissu plié qui, une fois déplié, se transforme en un élégant chapeau"
  },
"84": {
 "d100" : 84,
 "Name" : "Un récépissé de dépôt dans une banque d'une ville très éloignée"
  },
"85": {
 "d100" : 85,
 "Name" : "Un journal avec sept pages manquantes"
  },
"86": {
 "d100" : 86,
 "Name" : "Une tabatière en argent vide et portant une inscription sur le dessus qui dit « rêves »"
  },
"87": {
 "d100" : 87,
 "Name" : "Un symbole sacré en fer et consacré à un dieu inconnu"
  },
"88": {
 "d100" : 88,
 "Name" : "Un livre qui raconte l'histoire de l'ascension et la chute d'un héros légendaire, avec le dernier chapitre manquant"
  },
"89": {
 "d100" : 89,
 "Name" : "Un flacon de sang de dragon"
  },
"90": {
 "d100" : 90,
 "Name" : "Une ancienne flèche de conception elfique"
  },
"91": {
 "d100" : 91,
 "Name" : "Une aiguille qui ne se plie pas"
  },
"92": {
 "d100" : 92,
 "Name" : "Une broche ornée de conception naine"
  },
"93": {
 "d100" : 93,
 "Name" : "Une bouteille de vin vide portant une jolie étiquette qui dit « Le magicien des vins, Cuvée du Dragon Rouge, 331422-W »"
  },
"94": {
 "d100" : 94,
 "Name" : "Un couvercle avec une mosaïque multicolore en surface"
  },
"95": {
 "d100" : 95,
 "Name" : "Une souris pétrifiée"
  },
"96": {
 "d100" : 96,
 "Name" : "Un drapeau de pirate noir orné d'un crâne et des os croisés d'un dragon"
  },
"97": {
 "d100" : 97,
 "Name" : "Un petit crabe ou araignée mécanique qui se déplace quand il n'est pas observé"
  },
"98": {
 "d100" : 98,
 "Name" : "Un pot de verre contenant du lard avec une étiquette qui dit « Graisse de griffon »"
  },
"99": {
 "d100" : 99,
 "Name" : "Une boîte en bois avec un fond en céramique qui contient un ver vivant avec une tête à chaque extrémité de son corps"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2"/>
  <sheetViews>
    <sheetView topLeftCell="A22" workbookViewId="0">
      <selection activeCell="F32" sqref="F32"/>
    </sheetView>
  </sheetViews>
  <sheetFormatPr baseColWidth="10" defaultRowHeight="15"/>
  <cols>
    <col min="1" max="1" width="20.140625" customWidth="1"/>
  </cols>
  <sheetData>
    <row r="1" spans="1:6">
      <c r="A1" s="83" t="s">
        <v>389</v>
      </c>
      <c r="B1" s="97" t="s">
        <v>18</v>
      </c>
    </row>
    <row r="2" spans="1:6">
      <c r="A2" s="78" t="s">
        <v>828</v>
      </c>
      <c r="B2" s="79" t="s">
        <v>805</v>
      </c>
      <c r="D2" t="s">
        <v>811</v>
      </c>
      <c r="E2" s="74">
        <f>LEFT(B2,LEN(B2)-3)*IF(RIGHT(B2,2)="po",100,IF(RIGHT(B2,2)="pa",10,1))</f>
        <v>7</v>
      </c>
      <c r="F2" t="str">
        <f>""""&amp;RIGHT(A2,LEN(A2)-2)&amp;""": {
 ""Name"" : """&amp;RIGHT(A2,LEN(A2)-2)&amp;""",
 ""Category"": """&amp;D2&amp;""",
 ""Price"" : "&amp;E2&amp;"
  }"</f>
        <v>"Auberge Sordide": {
 "Name" : "Auberge Sordide",
 "Category": "HOSTEL",
 "Price" : 7
  }</v>
      </c>
    </row>
    <row r="3" spans="1:6">
      <c r="A3" s="80" t="s">
        <v>829</v>
      </c>
      <c r="B3" s="81" t="s">
        <v>34</v>
      </c>
      <c r="D3" t="s">
        <v>811</v>
      </c>
      <c r="E3" s="74">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78" t="s">
        <v>830</v>
      </c>
      <c r="B4" s="79" t="s">
        <v>42</v>
      </c>
      <c r="D4" t="s">
        <v>811</v>
      </c>
      <c r="E4" s="74">
        <f t="shared" si="0"/>
        <v>50</v>
      </c>
      <c r="F4" t="str">
        <f t="shared" si="1"/>
        <v>"Auberge Modeste": {
 "Name" : "Auberge Modeste",
 "Category": "HOSTEL",
 "Price" : 50
  }</v>
      </c>
    </row>
    <row r="5" spans="1:6">
      <c r="A5" s="80" t="s">
        <v>831</v>
      </c>
      <c r="B5" s="81" t="s">
        <v>806</v>
      </c>
      <c r="D5" t="s">
        <v>811</v>
      </c>
      <c r="E5" s="74">
        <f t="shared" si="0"/>
        <v>80</v>
      </c>
      <c r="F5" t="str">
        <f t="shared" si="1"/>
        <v>"Auberge Confortable": {
 "Name" : "Auberge Confortable",
 "Category": "HOSTEL",
 "Price" : 80
  }</v>
      </c>
    </row>
    <row r="6" spans="1:6">
      <c r="A6" s="78" t="s">
        <v>832</v>
      </c>
      <c r="B6" s="79" t="s">
        <v>29</v>
      </c>
      <c r="D6" t="s">
        <v>811</v>
      </c>
      <c r="E6" s="74">
        <f t="shared" si="0"/>
        <v>200</v>
      </c>
      <c r="F6" t="str">
        <f t="shared" si="1"/>
        <v>"Auberge Riche": {
 "Name" : "Auberge Riche",
 "Category": "HOSTEL",
 "Price" : 200
  }</v>
      </c>
    </row>
    <row r="7" spans="1:6" ht="25.5">
      <c r="A7" s="80" t="s">
        <v>833</v>
      </c>
      <c r="B7" s="81" t="s">
        <v>497</v>
      </c>
      <c r="D7" t="s">
        <v>811</v>
      </c>
      <c r="E7" s="74">
        <f t="shared" si="0"/>
        <v>400</v>
      </c>
      <c r="F7" t="str">
        <f t="shared" si="1"/>
        <v>"Auberge Aristocratique": {
 "Name" : "Auberge Aristocratique",
 "Category": "HOSTEL",
 "Price" : 400
  }</v>
      </c>
    </row>
    <row r="8" spans="1:6">
      <c r="A8" s="80" t="s">
        <v>822</v>
      </c>
      <c r="B8" s="81" t="s">
        <v>807</v>
      </c>
      <c r="D8" t="s">
        <v>812</v>
      </c>
      <c r="E8" s="74">
        <f t="shared" si="0"/>
        <v>3</v>
      </c>
      <c r="F8" t="str">
        <f t="shared" si="1"/>
        <v>"Repas Sordide": {
 "Name" : "Repas Sordide",
 "Category": "MEAL",
 "Price" : 3
  }</v>
      </c>
    </row>
    <row r="9" spans="1:6">
      <c r="A9" s="78" t="s">
        <v>827</v>
      </c>
      <c r="B9" s="79" t="s">
        <v>808</v>
      </c>
      <c r="D9" t="s">
        <v>812</v>
      </c>
      <c r="E9" s="74">
        <f t="shared" si="0"/>
        <v>6</v>
      </c>
      <c r="F9" t="str">
        <f t="shared" si="1"/>
        <v>"Repas Pauvre": {
 "Name" : "Repas Pauvre",
 "Category": "MEAL",
 "Price" : 6
  }</v>
      </c>
    </row>
    <row r="10" spans="1:6">
      <c r="A10" s="80" t="s">
        <v>826</v>
      </c>
      <c r="B10" s="81" t="s">
        <v>809</v>
      </c>
      <c r="D10" t="s">
        <v>812</v>
      </c>
      <c r="E10" s="74">
        <f t="shared" si="0"/>
        <v>30</v>
      </c>
      <c r="F10" t="str">
        <f t="shared" si="1"/>
        <v>"Repas Modeste": {
 "Name" : "Repas Modeste",
 "Category": "MEAL",
 "Price" : 30
  }</v>
      </c>
    </row>
    <row r="11" spans="1:6">
      <c r="A11" s="78" t="s">
        <v>825</v>
      </c>
      <c r="B11" s="79" t="s">
        <v>42</v>
      </c>
      <c r="D11" t="s">
        <v>812</v>
      </c>
      <c r="E11" s="74">
        <f t="shared" si="0"/>
        <v>50</v>
      </c>
      <c r="F11" t="str">
        <f t="shared" si="1"/>
        <v>"Repas Confortable": {
 "Name" : "Repas Confortable",
 "Category": "MEAL",
 "Price" : 50
  }</v>
      </c>
    </row>
    <row r="12" spans="1:6">
      <c r="A12" s="80" t="s">
        <v>824</v>
      </c>
      <c r="B12" s="81" t="s">
        <v>806</v>
      </c>
      <c r="D12" t="s">
        <v>812</v>
      </c>
      <c r="E12" s="74">
        <f t="shared" si="0"/>
        <v>80</v>
      </c>
      <c r="F12" t="str">
        <f t="shared" si="1"/>
        <v>"Repas Riche": {
 "Name" : "Repas Riche",
 "Category": "MEAL",
 "Price" : 80
  }</v>
      </c>
    </row>
    <row r="13" spans="1:6">
      <c r="A13" s="78" t="s">
        <v>823</v>
      </c>
      <c r="B13" s="79" t="s">
        <v>29</v>
      </c>
      <c r="D13" t="s">
        <v>812</v>
      </c>
      <c r="E13" s="74">
        <f t="shared" si="0"/>
        <v>200</v>
      </c>
      <c r="F13" t="str">
        <f t="shared" si="1"/>
        <v>"Repas Aristocratique": {
 "Name" : "Repas Aristocratique",
 "Category": "MEAL",
 "Price" : 200
  }</v>
      </c>
    </row>
    <row r="14" spans="1:6" ht="25.5">
      <c r="A14" s="78" t="s">
        <v>813</v>
      </c>
      <c r="B14" s="79" t="s">
        <v>84</v>
      </c>
      <c r="D14" t="s">
        <v>812</v>
      </c>
      <c r="E14" s="74">
        <f t="shared" si="0"/>
        <v>1000</v>
      </c>
      <c r="F14" t="str">
        <f t="shared" si="1"/>
        <v>"Banquet (par personne)": {
 "Name" : "Banquet (par personne)",
 "Category": "MEAL",
 "Price" : 1000
  }</v>
      </c>
    </row>
    <row r="15" spans="1:6" ht="25.5">
      <c r="A15" s="80" t="s">
        <v>819</v>
      </c>
      <c r="B15" s="81" t="s">
        <v>809</v>
      </c>
      <c r="D15" t="s">
        <v>814</v>
      </c>
      <c r="E15" s="74">
        <f t="shared" si="0"/>
        <v>30</v>
      </c>
      <c r="F15" t="str">
        <f t="shared" si="1"/>
        <v>"Viande, gros morceau": {
 "Name" : "Viande, gros morceau",
 "Category": "FOOD",
 "Price" : 30
  }</v>
      </c>
    </row>
    <row r="16" spans="1:6" ht="25.5">
      <c r="A16" s="78" t="s">
        <v>818</v>
      </c>
      <c r="B16" s="79" t="s">
        <v>34</v>
      </c>
      <c r="D16" t="s">
        <v>814</v>
      </c>
      <c r="E16" s="74">
        <f t="shared" si="0"/>
        <v>10</v>
      </c>
      <c r="F16" t="str">
        <f t="shared" si="1"/>
        <v>"Fromage, gros morceau": {
 "Name" : "Fromage, gros morceau",
 "Category": "FOOD",
 "Price" : 10
  }</v>
      </c>
    </row>
    <row r="17" spans="1:6">
      <c r="A17" s="80" t="s">
        <v>817</v>
      </c>
      <c r="B17" s="81" t="s">
        <v>537</v>
      </c>
      <c r="D17" t="s">
        <v>814</v>
      </c>
      <c r="E17" s="74">
        <f t="shared" si="0"/>
        <v>2</v>
      </c>
      <c r="F17" t="str">
        <f t="shared" si="1"/>
        <v>"Pain, miche": {
 "Name" : "Pain, miche",
 "Category": "FOOD",
 "Price" : 2
  }</v>
      </c>
    </row>
    <row r="18" spans="1:6">
      <c r="A18" s="80" t="s">
        <v>816</v>
      </c>
      <c r="B18" s="81" t="s">
        <v>24</v>
      </c>
      <c r="D18" t="s">
        <v>815</v>
      </c>
      <c r="E18" s="74">
        <f t="shared" si="0"/>
        <v>20</v>
      </c>
      <c r="F18" t="str">
        <f t="shared" si="1"/>
        <v>"Vin Ordinaire (pichet)": {
 "Name" : "Vin Ordinaire (pichet)",
 "Category": "DRINK",
 "Price" : 20
  }</v>
      </c>
    </row>
    <row r="19" spans="1:6">
      <c r="A19" s="78" t="s">
        <v>810</v>
      </c>
      <c r="B19" s="78" t="s">
        <v>84</v>
      </c>
      <c r="D19" t="s">
        <v>815</v>
      </c>
      <c r="E19" s="74">
        <f t="shared" si="0"/>
        <v>1000</v>
      </c>
      <c r="F19" t="str">
        <f t="shared" si="1"/>
        <v>"Fin (bouteille)": {
 "Name" : "Fin (bouteille)",
 "Category": "DRINK",
 "Price" : 1000
  }</v>
      </c>
    </row>
    <row r="20" spans="1:6">
      <c r="A20" s="78" t="s">
        <v>820</v>
      </c>
      <c r="B20" s="79" t="s">
        <v>604</v>
      </c>
      <c r="D20" t="s">
        <v>815</v>
      </c>
      <c r="E20" s="74">
        <f t="shared" si="0"/>
        <v>4</v>
      </c>
      <c r="F20" t="str">
        <f t="shared" si="1"/>
        <v>"Chope de bière": {
 "Name" : "Chope de bière",
 "Category": "DRINK",
 "Price" : 4
  }</v>
      </c>
    </row>
    <row r="21" spans="1:6">
      <c r="A21" s="80" t="s">
        <v>821</v>
      </c>
      <c r="B21" s="81" t="s">
        <v>24</v>
      </c>
      <c r="D21" t="s">
        <v>815</v>
      </c>
      <c r="E21" s="74">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83" t="s">
        <v>848</v>
      </c>
      <c r="B23" s="83" t="s">
        <v>18</v>
      </c>
    </row>
    <row r="24" spans="1:6">
      <c r="A24" s="78" t="s">
        <v>834</v>
      </c>
      <c r="B24" s="78" t="s">
        <v>835</v>
      </c>
      <c r="D24" t="s">
        <v>843</v>
      </c>
      <c r="F24" t="str">
        <f>""""&amp;RIGHT(A24,LEN(A24)-2)&amp;""": {
 ""Name"" : """&amp;RIGHT(A24,LEN(A24)-2)&amp;""",
 ""Category"": """&amp;D24&amp;""",
 ""Price"" : """&amp;B24&amp;"""
  }"</f>
        <v>"Non qualifié": {
 "Name" : "Non qualifié",
 "Category": "HIRING",
 "Price" : "2 pa par jour"
  }</v>
      </c>
    </row>
    <row r="25" spans="1:6">
      <c r="A25" s="80" t="s">
        <v>836</v>
      </c>
      <c r="B25" s="80" t="s">
        <v>837</v>
      </c>
      <c r="D25" t="s">
        <v>843</v>
      </c>
      <c r="F25" t="str">
        <f t="shared" ref="F25:F30" si="2">""""&amp;RIGHT(A25,LEN(A25)-2)&amp;""": {
 ""Name"" : """&amp;RIGHT(A25,LEN(A25)-2)&amp;""",
 ""Category"": """&amp;D25&amp;""",
 ""Price"" : """&amp;B25&amp;"""
  }"</f>
        <v>"Qualifié": {
 "Name" : "Qualifié",
 "Category": "HIRING",
 "Price" : "2 po par jour"
  }</v>
      </c>
    </row>
    <row r="26" spans="1:6" ht="25.5">
      <c r="A26" s="78" t="s">
        <v>844</v>
      </c>
      <c r="B26" s="78" t="s">
        <v>838</v>
      </c>
      <c r="D26" t="s">
        <v>843</v>
      </c>
      <c r="F26" t="str">
        <f t="shared" si="2"/>
        <v>"Messager": {
 "Name" : "Messager",
 "Category": "HIRING",
 "Price" : "2 pc par 1,5 kilomètre"
  }</v>
      </c>
    </row>
    <row r="27" spans="1:6" ht="25.5">
      <c r="A27" s="80" t="s">
        <v>846</v>
      </c>
      <c r="B27" s="80" t="s">
        <v>505</v>
      </c>
      <c r="D27" t="s">
        <v>845</v>
      </c>
      <c r="F27" t="str">
        <f t="shared" si="2"/>
        <v>"Péage routier ou porte": {
 "Name" : "Péage routier ou porte",
 "Category": "TRANSPORT",
 "Price" : "1 pc"
  }</v>
      </c>
    </row>
    <row r="28" spans="1:6">
      <c r="A28" s="80" t="s">
        <v>839</v>
      </c>
      <c r="B28" s="80" t="s">
        <v>505</v>
      </c>
      <c r="D28" t="s">
        <v>845</v>
      </c>
      <c r="F28" t="str">
        <f t="shared" si="2"/>
        <v>"En ville": {
 "Name" : "En ville",
 "Category": "TRANSPORT",
 "Price" : "1 pc"
  }</v>
      </c>
    </row>
    <row r="29" spans="1:6" ht="25.5">
      <c r="A29" s="78" t="s">
        <v>840</v>
      </c>
      <c r="B29" s="78" t="s">
        <v>841</v>
      </c>
      <c r="D29" t="s">
        <v>845</v>
      </c>
      <c r="F29" t="str">
        <f t="shared" si="2"/>
        <v>"Entre deux villes": {
 "Name" : "Entre deux villes",
 "Category": "TRANSPORT",
 "Price" : "3 pc par 1,5 kilomètre"
  }</v>
      </c>
    </row>
    <row r="30" spans="1:6" ht="25.5">
      <c r="A30" s="80" t="s">
        <v>847</v>
      </c>
      <c r="B30" s="80" t="s">
        <v>842</v>
      </c>
      <c r="D30" t="s">
        <v>845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83" t="s">
        <v>389</v>
      </c>
      <c r="B1" s="83" t="s">
        <v>15</v>
      </c>
      <c r="C1" s="83" t="s">
        <v>18</v>
      </c>
      <c r="D1" s="83" t="s">
        <v>17</v>
      </c>
    </row>
    <row r="2" spans="1:14" s="88" customFormat="1">
      <c r="A2" s="82" t="s">
        <v>556</v>
      </c>
      <c r="B2" s="82"/>
      <c r="C2" s="82"/>
      <c r="D2" s="82"/>
      <c r="E2" s="88" t="s">
        <v>700</v>
      </c>
      <c r="H2" s="88" t="str">
        <f>""""&amp;E2&amp;""": {""Code"": """&amp;E2&amp;""", ""Name"": """&amp;A2&amp;"""}"</f>
        <v>"ARCANE_FOCUSER": {"Code": "ARCANE_FOCUSER", "Name": "Focaliseur arcanique"}</v>
      </c>
    </row>
    <row r="3" spans="1:14">
      <c r="A3" s="80" t="s">
        <v>687</v>
      </c>
      <c r="B3" s="80" t="s">
        <v>557</v>
      </c>
      <c r="C3" s="81" t="s">
        <v>84</v>
      </c>
      <c r="D3" s="81" t="s">
        <v>28</v>
      </c>
      <c r="E3" s="40" t="s">
        <v>700</v>
      </c>
      <c r="F3" s="74">
        <f>LEFT(C3,LEN(C3)-3)*IF(RIGHT(C3,2)="po",100,IF(RIGHT(C3,2)="pa",10,1))</f>
        <v>1000</v>
      </c>
      <c r="G3" s="74" t="str">
        <f>IF(RIGHT(D3,2)="kg",LEFT(D3,LEN(D3)-3)*1000,LEFT(D3,LEN(D3)-2))</f>
        <v>500</v>
      </c>
      <c r="H3" s="88"/>
      <c r="I3" t="str">
        <f>""""&amp;A3&amp;""": {
 ""Name"" : """&amp;A3&amp;""",
 ""OV"" : """&amp;B3&amp;""",
 ""Category"": """&amp;E3&amp;""",
 ""Weight"" : "&amp;G3&amp;",
 ""Price"" : "&amp;F3&amp;"
  }"</f>
        <v>"Baguette": {
 "Name" : "Baguette",
 "OV" : "Wand",
 "Category": "ARCANE_FOCUSER",
 "Weight" : 500,
 "Price" : 1000
  }</v>
      </c>
      <c r="J3" s="40"/>
      <c r="K3" s="40"/>
      <c r="L3" s="40"/>
      <c r="M3" s="40"/>
      <c r="N3" s="40"/>
    </row>
    <row r="4" spans="1:14">
      <c r="A4" s="78" t="s">
        <v>951</v>
      </c>
      <c r="B4" s="78" t="s">
        <v>558</v>
      </c>
      <c r="C4" s="79" t="s">
        <v>38</v>
      </c>
      <c r="D4" s="79" t="s">
        <v>23</v>
      </c>
      <c r="E4" s="40" t="s">
        <v>700</v>
      </c>
      <c r="F4" s="74">
        <f t="shared" ref="F4:F67" si="0">LEFT(C4,LEN(C4)-3)*IF(RIGHT(C4,2)="po",100,IF(RIGHT(C4,2)="pa",10,1))</f>
        <v>500</v>
      </c>
      <c r="G4" s="74">
        <f t="shared" ref="G4:G67" si="1">IF(RIGHT(D4,2)="kg",LEFT(D4,LEN(D4)-3)*1000,LEFT(D4,LEN(D4)-2))</f>
        <v>2000</v>
      </c>
      <c r="H4" s="88"/>
      <c r="I4" t="str">
        <f>""""&amp;A4&amp;""": {
 ""Name"" : """&amp;A4&amp;""",
 ""OV"" : """&amp;B4&amp;""",
 ""Category"": """&amp;E4&amp;""",
 ""Weight"" : "&amp;G4&amp;",
 ""Price"" : "&amp;F4&amp;"
  }"</f>
        <v>"Bâton d'arcane": {
 "Name" : "Bâton d'arcane",
 "OV" : "Staff",
 "Category": "ARCANE_FOCUSER",
 "Weight" : 2000,
 "Price" : 500
  }</v>
      </c>
      <c r="J4" s="40"/>
      <c r="K4" s="40"/>
      <c r="L4" s="40"/>
      <c r="M4" s="40"/>
      <c r="N4" s="40"/>
    </row>
    <row r="5" spans="1:14">
      <c r="A5" s="80" t="s">
        <v>688</v>
      </c>
      <c r="B5" s="80" t="s">
        <v>559</v>
      </c>
      <c r="C5" s="81" t="s">
        <v>84</v>
      </c>
      <c r="D5" s="81" t="s">
        <v>28</v>
      </c>
      <c r="E5" s="40" t="s">
        <v>700</v>
      </c>
      <c r="F5" s="74">
        <f t="shared" si="0"/>
        <v>1000</v>
      </c>
      <c r="G5" s="74" t="str">
        <f t="shared" si="1"/>
        <v>500</v>
      </c>
      <c r="H5" s="88"/>
      <c r="I5" t="str">
        <f>""""&amp;A5&amp;""": {
 ""Name"" : """&amp;A5&amp;""",
 ""OV"" : """&amp;B5&amp;""",
 ""Category"": """&amp;E5&amp;""",
 ""Weight"" : "&amp;G5&amp;",
 ""Price"" : "&amp;F5&amp;"
  }"</f>
        <v>"Boule de cristal": {
 "Name" : "Boule de cristal",
 "OV" : "Crystal",
 "Category": "ARCANE_FOCUSER",
 "Weight" : 500,
 "Price" : 1000
  }</v>
      </c>
      <c r="J5" s="40"/>
      <c r="K5" s="40"/>
      <c r="L5" s="40"/>
      <c r="M5" s="40"/>
      <c r="N5" s="40"/>
    </row>
    <row r="6" spans="1:14">
      <c r="A6" s="78" t="s">
        <v>689</v>
      </c>
      <c r="B6" s="78" t="s">
        <v>560</v>
      </c>
      <c r="C6" s="79" t="s">
        <v>77</v>
      </c>
      <c r="D6" s="79" t="s">
        <v>45</v>
      </c>
      <c r="E6" s="40" t="s">
        <v>700</v>
      </c>
      <c r="F6" s="74">
        <f t="shared" si="0"/>
        <v>2000</v>
      </c>
      <c r="G6" s="74">
        <f t="shared" si="1"/>
        <v>1500</v>
      </c>
      <c r="H6" s="88"/>
      <c r="I6" t="str">
        <f>""""&amp;A6&amp;""": {
 ""Name"" : """&amp;A6&amp;""",
 ""OV"" : """&amp;B6&amp;""",
 ""Category"": """&amp;E6&amp;""",
 ""Weight"" : "&amp;G6&amp;",
 ""Price"" : "&amp;F6&amp;"
  }"</f>
        <v>"Orbe": {
 "Name" : "Orbe",
 "OV" : "Orb",
 "Category": "ARCANE_FOCUSER",
 "Weight" : 1500,
 "Price" : 2000
  }</v>
      </c>
      <c r="J6" s="40"/>
      <c r="K6" s="40"/>
      <c r="L6" s="40"/>
      <c r="M6" s="40"/>
      <c r="N6" s="40"/>
    </row>
    <row r="7" spans="1:14">
      <c r="A7" s="80" t="s">
        <v>690</v>
      </c>
      <c r="B7" s="80" t="s">
        <v>561</v>
      </c>
      <c r="C7" s="81" t="s">
        <v>84</v>
      </c>
      <c r="D7" s="81" t="s">
        <v>33</v>
      </c>
      <c r="E7" s="40" t="s">
        <v>700</v>
      </c>
      <c r="F7" s="74">
        <f t="shared" si="0"/>
        <v>1000</v>
      </c>
      <c r="G7" s="74">
        <f t="shared" si="1"/>
        <v>1000</v>
      </c>
      <c r="H7" s="88"/>
      <c r="I7" t="str">
        <f>""""&amp;A7&amp;""": {
 ""Name"" : """&amp;A7&amp;""",
 ""OV"" : """&amp;B7&amp;""",
 ""Category"": """&amp;E7&amp;""",
 ""Weight"" : "&amp;G7&amp;",
 ""Price"" : "&amp;F7&amp;"
  }"</f>
        <v>"Sceptre": {
 "Name" : "Sceptre",
 "OV" : "Rod",
 "Category": "ARCANE_FOCUSER",
 "Weight" : 1000,
 "Price" : 1000
  }</v>
      </c>
      <c r="J7" s="40"/>
      <c r="K7" s="40"/>
      <c r="L7" s="40"/>
      <c r="M7" s="40"/>
      <c r="N7" s="40"/>
    </row>
    <row r="8" spans="1:14" s="88" customFormat="1">
      <c r="A8" s="82" t="s">
        <v>562</v>
      </c>
      <c r="B8" s="82"/>
      <c r="C8" s="82"/>
      <c r="D8" s="82"/>
      <c r="E8" s="88" t="s">
        <v>701</v>
      </c>
      <c r="F8" s="87"/>
      <c r="G8" s="87"/>
      <c r="H8" s="88" t="str">
        <f>""""&amp;E8&amp;""": {""Code"": """&amp;E8&amp;""", ""Name"": """&amp;A8&amp;"""}"</f>
        <v>"DRUIDIC_FOCUSER": {"Code": "DRUIDIC_FOCUSER", "Name": "Focaliseur druidique"}</v>
      </c>
      <c r="I8"/>
    </row>
    <row r="9" spans="1:14">
      <c r="A9" s="80" t="s">
        <v>686</v>
      </c>
      <c r="B9" s="80" t="s">
        <v>563</v>
      </c>
      <c r="C9" s="81" t="s">
        <v>84</v>
      </c>
      <c r="D9" s="81" t="s">
        <v>28</v>
      </c>
      <c r="E9" s="40" t="s">
        <v>701</v>
      </c>
      <c r="F9" s="74">
        <f t="shared" si="0"/>
        <v>1000</v>
      </c>
      <c r="G9" s="74" t="str">
        <f t="shared" si="1"/>
        <v>500</v>
      </c>
      <c r="H9" s="88"/>
      <c r="I9" t="str">
        <f>""""&amp;A9&amp;""": {
 ""Name"" : """&amp;A9&amp;""",
 ""OV"" : """&amp;B9&amp;""",
 ""Category"": """&amp;E9&amp;""",
 ""Weight"" : "&amp;G9&amp;",
 ""Price"" : "&amp;F9&amp;"
  }"</f>
        <v>"Baguette d'if": {
 "Name" : "Baguette d'if",
 "OV" : "Yew wand",
 "Category": "DRUIDIC_FOCUSER",
 "Weight" : 500,
 "Price" : 1000
  }</v>
      </c>
      <c r="J9" s="40"/>
      <c r="K9" s="40"/>
      <c r="L9" s="40"/>
      <c r="M9" s="40"/>
      <c r="N9" s="40"/>
    </row>
    <row r="10" spans="1:14">
      <c r="A10" s="78" t="s">
        <v>952</v>
      </c>
      <c r="B10" s="78" t="s">
        <v>564</v>
      </c>
      <c r="C10" s="79" t="s">
        <v>38</v>
      </c>
      <c r="D10" s="79" t="s">
        <v>23</v>
      </c>
      <c r="E10" s="40" t="s">
        <v>701</v>
      </c>
      <c r="F10" s="74">
        <f t="shared" si="0"/>
        <v>500</v>
      </c>
      <c r="G10" s="74">
        <f t="shared" si="1"/>
        <v>2000</v>
      </c>
      <c r="H10" s="88"/>
      <c r="I10" t="str">
        <f>""""&amp;A10&amp;""": {
 ""Name"" : """&amp;A10&amp;""",
 ""OV"" : """&amp;B10&amp;""",
 ""Category"": """&amp;E10&amp;""",
 ""Weight"" : "&amp;G10&amp;",
 ""Price"" : "&amp;F10&amp;"
  }"</f>
        <v>"Bâton druidique": {
 "Name" : "Bâton druidique",
 "OV" : "Wooden staff",
 "Category": "DRUIDIC_FOCUSER",
 "Weight" : 2000,
 "Price" : 500
  }</v>
      </c>
      <c r="J10" s="40"/>
      <c r="K10" s="40"/>
      <c r="L10" s="40"/>
      <c r="M10" s="40"/>
      <c r="N10" s="40"/>
    </row>
    <row r="11" spans="1:14">
      <c r="A11" s="80" t="s">
        <v>685</v>
      </c>
      <c r="B11" s="80" t="s">
        <v>565</v>
      </c>
      <c r="C11" s="81" t="s">
        <v>46</v>
      </c>
      <c r="D11" s="90" t="s">
        <v>298</v>
      </c>
      <c r="E11" s="40" t="s">
        <v>701</v>
      </c>
      <c r="F11" s="74">
        <f t="shared" si="0"/>
        <v>100</v>
      </c>
      <c r="G11" s="74" t="str">
        <f t="shared" si="1"/>
        <v>0</v>
      </c>
      <c r="H11" s="88"/>
      <c r="I11" t="str">
        <f>""""&amp;A11&amp;""": {
 ""Name"" : """&amp;A11&amp;""",
 ""OV"" : """&amp;B11&amp;""",
 ""Category"": """&amp;E11&amp;""",
 ""Weight"" : "&amp;G11&amp;",
 ""Price"" : "&amp;F11&amp;"
  }"</f>
        <v>"Branche de gui": {
 "Name" : "Branche de gui",
 "OV" : "Sprig of mistletoe",
 "Category": "DRUIDIC_FOCUSER",
 "Weight" : 0,
 "Price" : 100
  }</v>
      </c>
      <c r="J11" s="40"/>
      <c r="K11" s="40"/>
      <c r="L11" s="40"/>
      <c r="M11" s="40"/>
      <c r="N11" s="40"/>
    </row>
    <row r="12" spans="1:14">
      <c r="A12" s="78" t="s">
        <v>566</v>
      </c>
      <c r="B12" s="78" t="s">
        <v>566</v>
      </c>
      <c r="C12" s="79" t="s">
        <v>46</v>
      </c>
      <c r="D12" s="91" t="s">
        <v>298</v>
      </c>
      <c r="E12" s="40" t="s">
        <v>701</v>
      </c>
      <c r="F12" s="74">
        <f t="shared" si="0"/>
        <v>100</v>
      </c>
      <c r="G12" s="74" t="str">
        <f t="shared" si="1"/>
        <v>0</v>
      </c>
      <c r="H12" s="88"/>
      <c r="I12" t="str">
        <f>""""&amp;A12&amp;""": {
 ""Name"" : """&amp;A12&amp;""",
 ""OV"" : """&amp;B12&amp;""",
 ""Category"": """&amp;E12&amp;""",
 ""Weight"" : "&amp;G12&amp;",
 ""Price"" : "&amp;F12&amp;"
  }"</f>
        <v>"Totem": {
 "Name" : "Totem",
 "OV" : "Totem",
 "Category": "DRUIDIC_FOCUSER",
 "Weight" : 0,
 "Price" : 100
  }</v>
      </c>
      <c r="J12" s="40"/>
      <c r="K12" s="40"/>
      <c r="L12" s="40"/>
      <c r="M12" s="40"/>
      <c r="N12" s="40"/>
    </row>
    <row r="13" spans="1:14" s="88" customFormat="1">
      <c r="A13" s="77" t="s">
        <v>601</v>
      </c>
      <c r="B13" s="77"/>
      <c r="C13" s="77"/>
      <c r="D13" s="77"/>
      <c r="E13" s="88" t="s">
        <v>702</v>
      </c>
      <c r="F13" s="87"/>
      <c r="G13" s="87"/>
      <c r="H13" s="88" t="str">
        <f>""""&amp;E13&amp;""": {""Code"": """&amp;E13&amp;""", ""Name"": """&amp;A13&amp;"""}"</f>
        <v>"AMMUNITION": {"Code": "AMMUNITION", "Name": "Munitions"}</v>
      </c>
      <c r="I13"/>
    </row>
    <row r="14" spans="1:14">
      <c r="A14" s="78" t="s">
        <v>694</v>
      </c>
      <c r="B14" s="78" t="s">
        <v>602</v>
      </c>
      <c r="C14" s="79" t="s">
        <v>46</v>
      </c>
      <c r="D14" s="79" t="s">
        <v>28</v>
      </c>
      <c r="E14" s="40" t="s">
        <v>702</v>
      </c>
      <c r="F14" s="74">
        <f t="shared" si="0"/>
        <v>100</v>
      </c>
      <c r="G14" s="74" t="str">
        <f t="shared" si="1"/>
        <v>500</v>
      </c>
      <c r="H14" s="88"/>
      <c r="I14" t="str">
        <f>""""&amp;A14&amp;""": {
 ""Name"" : """&amp;A14&amp;""",
 ""OV"" : """&amp;B14&amp;""",
 ""Category"": """&amp;E14&amp;""",
 ""Weight"" : "&amp;G14&amp;",
 ""Price"" : "&amp;F14&amp;"
  }"</f>
        <v>"Aiguilles de sarbacane (50)": {
 "Name" : "Aiguilles de sarbacane (50)",
 "OV" : "Blowgun needles",
 "Category": "AMMUNITION",
 "Weight" : 500,
 "Price" : 100
  }</v>
      </c>
      <c r="J14" s="40"/>
      <c r="K14" s="40"/>
      <c r="L14" s="40"/>
      <c r="M14" s="40"/>
      <c r="N14" s="40"/>
    </row>
    <row r="15" spans="1:14">
      <c r="A15" s="80" t="s">
        <v>693</v>
      </c>
      <c r="B15" s="80" t="s">
        <v>603</v>
      </c>
      <c r="C15" s="81" t="s">
        <v>604</v>
      </c>
      <c r="D15" s="81" t="s">
        <v>605</v>
      </c>
      <c r="E15" s="40" t="s">
        <v>702</v>
      </c>
      <c r="F15" s="74">
        <f t="shared" si="0"/>
        <v>4</v>
      </c>
      <c r="G15" s="74" t="str">
        <f t="shared" si="1"/>
        <v>750</v>
      </c>
      <c r="H15" s="88"/>
      <c r="I15" t="str">
        <f>""""&amp;A15&amp;""": {
 ""Name"" : """&amp;A15&amp;""",
 ""OV"" : """&amp;B15&amp;""",
 ""Category"": """&amp;E15&amp;""",
 ""Weight"" : "&amp;G15&amp;",
 ""Price"" : "&amp;F15&amp;"
  }"</f>
        <v>"Billes de fronde (20)": {
 "Name" : "Billes de fronde (20)",
 "OV" : "Sling bullets",
 "Category": "AMMUNITION",
 "Weight" : 750,
 "Price" : 4
  }</v>
      </c>
      <c r="J15" s="40"/>
      <c r="K15" s="40"/>
      <c r="L15" s="40"/>
      <c r="M15" s="40"/>
      <c r="N15" s="40"/>
    </row>
    <row r="16" spans="1:14">
      <c r="A16" s="78" t="s">
        <v>692</v>
      </c>
      <c r="B16" s="78" t="s">
        <v>606</v>
      </c>
      <c r="C16" s="79" t="s">
        <v>46</v>
      </c>
      <c r="D16" s="79" t="s">
        <v>605</v>
      </c>
      <c r="E16" s="40" t="s">
        <v>702</v>
      </c>
      <c r="F16" s="74">
        <f t="shared" si="0"/>
        <v>100</v>
      </c>
      <c r="G16" s="74" t="str">
        <f t="shared" si="1"/>
        <v>750</v>
      </c>
      <c r="H16" s="88"/>
      <c r="I16" t="str">
        <f>""""&amp;A16&amp;""": {
 ""Name"" : """&amp;A16&amp;""",
 ""OV"" : """&amp;B16&amp;""",
 ""Category"": """&amp;E16&amp;""",
 ""Weight"" : "&amp;G16&amp;",
 ""Price"" : "&amp;F16&amp;"
  }"</f>
        <v>"Carreaux d'arbalète (20)": {
 "Name" : "Carreaux d'arbalète (20)",
 "OV" : "Crossbow bolts",
 "Category": "AMMUNITION",
 "Weight" : 750,
 "Price" : 100
  }</v>
      </c>
      <c r="J16" s="40"/>
      <c r="K16" s="40"/>
      <c r="L16" s="40"/>
      <c r="M16" s="40"/>
      <c r="N16" s="40"/>
    </row>
    <row r="17" spans="1:14">
      <c r="A17" s="80" t="s">
        <v>691</v>
      </c>
      <c r="B17" s="80" t="s">
        <v>607</v>
      </c>
      <c r="C17" s="81" t="s">
        <v>46</v>
      </c>
      <c r="D17" s="81" t="s">
        <v>28</v>
      </c>
      <c r="E17" s="40" t="s">
        <v>702</v>
      </c>
      <c r="F17" s="74">
        <f t="shared" si="0"/>
        <v>100</v>
      </c>
      <c r="G17" s="74" t="str">
        <f t="shared" si="1"/>
        <v>500</v>
      </c>
      <c r="H17" s="88"/>
      <c r="I17" t="str">
        <f>""""&amp;A17&amp;""": {
 ""Name"" : """&amp;A17&amp;""",
 ""OV"" : """&amp;B17&amp;""",
 ""Category"": """&amp;E17&amp;""",
 ""Weight"" : "&amp;G17&amp;",
 ""Price"" : "&amp;F17&amp;"
  }"</f>
        <v>"Flèches (20)": {
 "Name" : "Flèches (20)",
 "OV" : "Arrows",
 "Category": "AMMUNITION",
 "Weight" : 500,
 "Price" : 100
  }</v>
      </c>
      <c r="J17" s="40"/>
      <c r="K17" s="40"/>
      <c r="L17" s="40"/>
      <c r="M17" s="40"/>
      <c r="N17" s="40"/>
    </row>
    <row r="18" spans="1:14" s="88" customFormat="1">
      <c r="A18" s="82" t="s">
        <v>663</v>
      </c>
      <c r="B18" s="82"/>
      <c r="C18" s="82"/>
      <c r="D18" s="82"/>
      <c r="E18" s="88" t="s">
        <v>703</v>
      </c>
      <c r="F18" s="87"/>
      <c r="G18" s="87"/>
      <c r="H18" s="88" t="str">
        <f>""""&amp;E18&amp;""": {""Code"": """&amp;E18&amp;""", ""Name"": """&amp;A18&amp;"""}"</f>
        <v>"SACRED_SYMBOL": {"Code": "SACRED_SYMBOL", "Name": "Symbole sacré"}</v>
      </c>
      <c r="I18"/>
    </row>
    <row r="19" spans="1:14">
      <c r="A19" s="80" t="s">
        <v>697</v>
      </c>
      <c r="B19" s="80" t="s">
        <v>664</v>
      </c>
      <c r="C19" s="81" t="s">
        <v>38</v>
      </c>
      <c r="D19" s="81" t="s">
        <v>28</v>
      </c>
      <c r="E19" s="40" t="s">
        <v>703</v>
      </c>
      <c r="F19" s="74">
        <f t="shared" si="0"/>
        <v>500</v>
      </c>
      <c r="G19" s="74" t="str">
        <f t="shared" si="1"/>
        <v>500</v>
      </c>
      <c r="H19" s="88"/>
      <c r="I19" t="str">
        <f>""""&amp;A19&amp;""": {
 ""Name"" : """&amp;A19&amp;""",
 ""OV"" : """&amp;B19&amp;""",
 ""Category"": """&amp;E19&amp;""",
 ""Weight"" : "&amp;G19&amp;",
 ""Price"" : "&amp;F19&amp;"
  }"</f>
        <v>"Amulette": {
 "Name" : "Amulette",
 "OV" : "Amulet",
 "Category": "SACRED_SYMBOL",
 "Weight" : 500,
 "Price" : 500
  }</v>
      </c>
      <c r="J19" s="40"/>
      <c r="K19" s="40"/>
      <c r="L19" s="40"/>
      <c r="M19" s="40"/>
      <c r="N19" s="40"/>
    </row>
    <row r="20" spans="1:14">
      <c r="A20" s="78" t="s">
        <v>696</v>
      </c>
      <c r="B20" s="78" t="s">
        <v>665</v>
      </c>
      <c r="C20" s="79" t="s">
        <v>38</v>
      </c>
      <c r="D20" s="91" t="s">
        <v>298</v>
      </c>
      <c r="E20" s="40" t="s">
        <v>703</v>
      </c>
      <c r="F20" s="74">
        <f t="shared" si="0"/>
        <v>500</v>
      </c>
      <c r="G20" s="74" t="str">
        <f t="shared" si="1"/>
        <v>0</v>
      </c>
      <c r="H20" s="88"/>
      <c r="I20" t="str">
        <f>""""&amp;A20&amp;""": {
 ""Name"" : """&amp;A20&amp;""",
 ""OV"" : """&amp;B20&amp;""",
 ""Category"": """&amp;E20&amp;""",
 ""Weight"" : "&amp;G20&amp;",
 ""Price"" : "&amp;F20&amp;"
  }"</f>
        <v>"Emblème": {
 "Name" : "Emblème",
 "OV" : "Emblem",
 "Category": "SACRED_SYMBOL",
 "Weight" : 0,
 "Price" : 500
  }</v>
      </c>
      <c r="J20" s="40"/>
      <c r="K20" s="40"/>
      <c r="L20" s="40"/>
      <c r="M20" s="40"/>
      <c r="N20" s="40"/>
    </row>
    <row r="21" spans="1:14">
      <c r="A21" s="80" t="s">
        <v>695</v>
      </c>
      <c r="B21" s="80" t="s">
        <v>666</v>
      </c>
      <c r="C21" s="81" t="s">
        <v>38</v>
      </c>
      <c r="D21" s="81" t="s">
        <v>33</v>
      </c>
      <c r="E21" s="40" t="s">
        <v>703</v>
      </c>
      <c r="F21" s="74">
        <f t="shared" si="0"/>
        <v>500</v>
      </c>
      <c r="G21" s="74">
        <f t="shared" si="1"/>
        <v>1000</v>
      </c>
      <c r="H21" s="88"/>
      <c r="I21" t="str">
        <f>""""&amp;A21&amp;""": {
 ""Name"" : """&amp;A21&amp;""",
 ""OV"" : """&amp;B21&amp;""",
 ""Category"": """&amp;E21&amp;""",
 ""Weight"" : "&amp;G21&amp;",
 ""Price"" : "&amp;F21&amp;"
  }"</f>
        <v>"Reliquaire": {
 "Name" : "Reliquaire",
 "OV" : "Reliquary",
 "Category": "SACRED_SYMBOL",
 "Weight" : 1000,
 "Price" : 500
  }</v>
      </c>
      <c r="J21" s="40"/>
      <c r="K21" s="40"/>
      <c r="L21" s="40"/>
      <c r="M21" s="40"/>
      <c r="N21" s="40"/>
    </row>
    <row r="22" spans="1:14" s="88" customFormat="1">
      <c r="A22" s="92" t="s">
        <v>698</v>
      </c>
      <c r="B22" s="92" t="s">
        <v>699</v>
      </c>
      <c r="C22" s="95"/>
      <c r="D22" s="95"/>
      <c r="E22" s="88" t="s">
        <v>704</v>
      </c>
      <c r="F22" s="87"/>
      <c r="G22" s="87"/>
      <c r="H22" s="88" t="str">
        <f>""""&amp;E22&amp;""": {""Code"": """&amp;E22&amp;""", ""Name"": """&amp;A22&amp;"""}"</f>
        <v>"CLOTHES": {"Code": "CLOTHES", "Name": "Vêtements"}</v>
      </c>
      <c r="I22"/>
    </row>
    <row r="23" spans="1:14" s="88" customFormat="1">
      <c r="A23" s="78" t="s">
        <v>676</v>
      </c>
      <c r="B23" s="78" t="s">
        <v>677</v>
      </c>
      <c r="C23" s="79" t="s">
        <v>42</v>
      </c>
      <c r="D23" s="79" t="s">
        <v>45</v>
      </c>
      <c r="E23" s="40" t="s">
        <v>704</v>
      </c>
      <c r="F23" s="74">
        <f t="shared" si="0"/>
        <v>50</v>
      </c>
      <c r="G23" s="74">
        <f t="shared" si="1"/>
        <v>1500</v>
      </c>
      <c r="I23" t="str">
        <f>""""&amp;A23&amp;""": {
 ""Name"" : """&amp;A23&amp;""",
 ""OV"" : """&amp;B23&amp;""",
 ""Category"": """&amp;E23&amp;""",
 ""Weight"" : "&amp;G23&amp;",
 ""Price"" : "&amp;F23&amp;"
  }"</f>
        <v>"Vêtements, communs": {
 "Name" : "Vêtements, communs",
 "OV" : "Clothes, common",
 "Category": "CLOTHES",
 "Weight" : 1500,
 "Price" : 50
  }</v>
      </c>
    </row>
    <row r="24" spans="1:14">
      <c r="A24" s="80" t="s">
        <v>678</v>
      </c>
      <c r="B24" s="80" t="s">
        <v>679</v>
      </c>
      <c r="C24" s="81" t="s">
        <v>38</v>
      </c>
      <c r="D24" s="81" t="s">
        <v>23</v>
      </c>
      <c r="E24" s="40" t="s">
        <v>704</v>
      </c>
      <c r="F24" s="74">
        <f t="shared" si="0"/>
        <v>500</v>
      </c>
      <c r="G24" s="74">
        <f t="shared" si="1"/>
        <v>2000</v>
      </c>
      <c r="H24" s="88"/>
      <c r="I24" t="str">
        <f>""""&amp;A24&amp;""": {
 ""Name"" : """&amp;A24&amp;""",
 ""OV"" : """&amp;B24&amp;""",
 ""Category"": """&amp;E24&amp;""",
 ""Weight"" : "&amp;G24&amp;",
 ""Price"" : "&amp;F24&amp;"
  }"</f>
        <v>"Vêtements, costume": {
 "Name" : "Vêtements, costume",
 "OV" : "Clothes, costume",
 "Category": "CLOTHES",
 "Weight" : 2000,
 "Price" : 500
  }</v>
      </c>
      <c r="J24" s="40"/>
      <c r="K24" s="40"/>
      <c r="L24" s="40"/>
      <c r="M24" s="40"/>
      <c r="N24" s="40"/>
    </row>
    <row r="25" spans="1:14">
      <c r="A25" s="78" t="s">
        <v>680</v>
      </c>
      <c r="B25" s="78" t="s">
        <v>681</v>
      </c>
      <c r="C25" s="79" t="s">
        <v>87</v>
      </c>
      <c r="D25" s="79" t="s">
        <v>76</v>
      </c>
      <c r="E25" s="40" t="s">
        <v>704</v>
      </c>
      <c r="F25" s="74">
        <f t="shared" si="0"/>
        <v>1500</v>
      </c>
      <c r="G25" s="74">
        <f t="shared" si="1"/>
        <v>3000</v>
      </c>
      <c r="H25" s="88"/>
      <c r="I25" t="str">
        <f>""""&amp;A25&amp;""": {
 ""Name"" : """&amp;A25&amp;""",
 ""OV"" : """&amp;B25&amp;""",
 ""Category"": """&amp;E25&amp;""",
 ""Weight"" : "&amp;G25&amp;",
 ""Price"" : "&amp;F25&amp;"
  }"</f>
        <v>"Vêtements, fins": {
 "Name" : "Vêtements, fins",
 "OV" : "Clothes, fine",
 "Category": "CLOTHES",
 "Weight" : 3000,
 "Price" : 1500
  }</v>
      </c>
      <c r="J25" s="40"/>
      <c r="K25" s="40"/>
      <c r="L25" s="40"/>
      <c r="M25" s="40"/>
      <c r="N25" s="40"/>
    </row>
    <row r="26" spans="1:14">
      <c r="A26" s="80" t="s">
        <v>682</v>
      </c>
      <c r="B26" s="80" t="s">
        <v>683</v>
      </c>
      <c r="C26" s="81" t="s">
        <v>29</v>
      </c>
      <c r="D26" s="81" t="s">
        <v>23</v>
      </c>
      <c r="E26" s="40" t="s">
        <v>704</v>
      </c>
      <c r="F26" s="74">
        <f t="shared" si="0"/>
        <v>200</v>
      </c>
      <c r="G26" s="74">
        <f t="shared" si="1"/>
        <v>2000</v>
      </c>
      <c r="H26" s="88"/>
      <c r="I26" t="str">
        <f>""""&amp;A26&amp;""": {
 ""Name"" : """&amp;A26&amp;""",
 ""OV"" : """&amp;B26&amp;""",
 ""Category"": """&amp;E26&amp;""",
 ""Weight"" : "&amp;G26&amp;",
 ""Price"" : "&amp;F26&amp;"
  }"</f>
        <v>"Vêtements, voyage": {
 "Name" : "Vêtements, voyage",
 "OV" : "Clothes, traveler’s",
 "Category": "CLOTHES",
 "Weight" : 2000,
 "Price" : 200
  }</v>
      </c>
      <c r="J26" s="40"/>
      <c r="K26" s="40"/>
      <c r="L26" s="40"/>
      <c r="M26" s="40"/>
      <c r="N26" s="40"/>
    </row>
    <row r="27" spans="1:14" s="88" customFormat="1">
      <c r="A27" s="92" t="s">
        <v>684</v>
      </c>
      <c r="B27" s="92"/>
      <c r="C27" s="95"/>
      <c r="D27" s="95"/>
      <c r="E27" s="88" t="s">
        <v>705</v>
      </c>
      <c r="F27" s="87"/>
      <c r="G27" s="87"/>
      <c r="H27" s="88" t="str">
        <f>""""&amp;E27&amp;""": {""Code"": """&amp;E27&amp;""", ""Name"": """&amp;A27&amp;"""}"</f>
        <v>"VARIOUS": {"Code": "VARIOUS", "Name": "Divers"}</v>
      </c>
      <c r="I27"/>
    </row>
    <row r="28" spans="1:14">
      <c r="A28" s="78" t="s">
        <v>667</v>
      </c>
      <c r="B28" s="78" t="s">
        <v>668</v>
      </c>
      <c r="C28" s="79" t="s">
        <v>29</v>
      </c>
      <c r="D28" s="79" t="s">
        <v>361</v>
      </c>
      <c r="E28" s="40" t="s">
        <v>705</v>
      </c>
      <c r="F28" s="74">
        <f t="shared" si="0"/>
        <v>200</v>
      </c>
      <c r="G28" s="74">
        <f t="shared" si="1"/>
        <v>10000</v>
      </c>
      <c r="H28" s="88"/>
      <c r="I28" t="str">
        <f>""""&amp;A28&amp;""": {
 ""Name"" : """&amp;A28&amp;""",
 ""OV"" : """&amp;B28&amp;""",
 ""Category"": """&amp;E28&amp;""",
 ""Weight"" : "&amp;G28&amp;",
 ""Price"" : "&amp;F28&amp;"
  }"</f>
        <v>"Tente": {
 "Name" : "Tente",
 "OV" : "Tent",
 "Category": "VARIOUS",
 "Weight" : 10000,
 "Price" : 200
  }</v>
      </c>
      <c r="J28" s="40"/>
      <c r="K28" s="40"/>
      <c r="L28" s="40"/>
      <c r="M28" s="40"/>
      <c r="N28" s="40"/>
    </row>
    <row r="29" spans="1:14">
      <c r="A29" s="80" t="s">
        <v>669</v>
      </c>
      <c r="B29" s="80" t="s">
        <v>670</v>
      </c>
      <c r="C29" s="81" t="s">
        <v>29</v>
      </c>
      <c r="D29" s="81" t="s">
        <v>671</v>
      </c>
      <c r="E29" s="40" t="s">
        <v>705</v>
      </c>
      <c r="F29" s="74">
        <f t="shared" si="0"/>
        <v>200</v>
      </c>
      <c r="G29" s="74">
        <f t="shared" si="1"/>
        <v>35000</v>
      </c>
      <c r="H29" s="88"/>
      <c r="I29" t="str">
        <f t="shared" ref="I29:I92" si="2">""""&amp;A29&amp;""": {
 ""Name"" : """&amp;A29&amp;""",
 ""OV"" : """&amp;B29&amp;""",
 ""Category"": """&amp;E29&amp;""",
 ""Weight"" : "&amp;G29&amp;",
 ""Price"" : "&amp;F29&amp;"
  }"</f>
        <v>"Tonneau": {
 "Name" : "Tonneau",
 "OV" : "Barrel",
 "Category": "VARIOUS",
 "Weight" : 35000,
 "Price" : 200
  }</v>
      </c>
      <c r="J29" s="40"/>
      <c r="K29" s="40"/>
      <c r="L29" s="40"/>
      <c r="M29" s="40"/>
      <c r="N29" s="40"/>
    </row>
    <row r="30" spans="1:14">
      <c r="A30" s="78" t="s">
        <v>672</v>
      </c>
      <c r="B30" s="78" t="s">
        <v>673</v>
      </c>
      <c r="C30" s="79" t="s">
        <v>505</v>
      </c>
      <c r="D30" s="79" t="s">
        <v>28</v>
      </c>
      <c r="E30" s="40" t="s">
        <v>705</v>
      </c>
      <c r="F30" s="74">
        <f t="shared" si="0"/>
        <v>1</v>
      </c>
      <c r="G30" s="74" t="str">
        <f t="shared" si="1"/>
        <v>500</v>
      </c>
      <c r="H30" s="88"/>
      <c r="I30" t="str">
        <f t="shared" si="2"/>
        <v>"Torche": {
 "Name" : "Torche",
 "OV" : "Torch",
 "Category": "VARIOUS",
 "Weight" : 500,
 "Price" : 1
  }</v>
      </c>
      <c r="J30" s="40"/>
      <c r="K30" s="40"/>
      <c r="L30" s="40"/>
      <c r="M30" s="40"/>
      <c r="N30" s="40"/>
    </row>
    <row r="31" spans="1:14">
      <c r="A31" s="80" t="s">
        <v>674</v>
      </c>
      <c r="B31" s="80" t="s">
        <v>675</v>
      </c>
      <c r="C31" s="81" t="s">
        <v>38</v>
      </c>
      <c r="D31" s="81" t="s">
        <v>45</v>
      </c>
      <c r="E31" s="40" t="s">
        <v>705</v>
      </c>
      <c r="F31" s="74">
        <f t="shared" si="0"/>
        <v>500</v>
      </c>
      <c r="G31" s="74">
        <f t="shared" si="1"/>
        <v>1500</v>
      </c>
      <c r="H31" s="88"/>
      <c r="I31" t="str">
        <f t="shared" si="2"/>
        <v>"Trousse de soins": {
 "Name" : "Trousse de soins",
 "OV" : "Healer’s Kit",
 "Category": "VARIOUS",
 "Weight" : 1500,
 "Price" : 500
  }</v>
      </c>
      <c r="J31" s="40"/>
      <c r="K31" s="40"/>
      <c r="L31" s="40"/>
      <c r="M31" s="40"/>
      <c r="N31" s="40"/>
    </row>
    <row r="32" spans="1:14">
      <c r="A32" s="78" t="s">
        <v>608</v>
      </c>
      <c r="B32" s="78" t="s">
        <v>609</v>
      </c>
      <c r="C32" s="79" t="s">
        <v>46</v>
      </c>
      <c r="D32" s="79" t="s">
        <v>60</v>
      </c>
      <c r="E32" s="40" t="s">
        <v>705</v>
      </c>
      <c r="F32" s="74">
        <f t="shared" si="0"/>
        <v>100</v>
      </c>
      <c r="G32" s="74">
        <f t="shared" si="1"/>
        <v>2500</v>
      </c>
      <c r="H32" s="88"/>
      <c r="I32" t="str">
        <f t="shared" si="2"/>
        <v>"Palan": {
 "Name" : "Palan",
 "OV" : "Block and tackle",
 "Category": "VARIOUS",
 "Weight" : 2500,
 "Price" : 100
  }</v>
      </c>
      <c r="J32" s="40"/>
      <c r="K32" s="40"/>
      <c r="L32" s="40"/>
      <c r="M32" s="40"/>
      <c r="N32" s="40"/>
    </row>
    <row r="33" spans="1:14" s="88" customFormat="1">
      <c r="A33" s="80" t="s">
        <v>610</v>
      </c>
      <c r="B33" s="80" t="s">
        <v>611</v>
      </c>
      <c r="C33" s="81" t="s">
        <v>612</v>
      </c>
      <c r="D33" s="81" t="s">
        <v>33</v>
      </c>
      <c r="E33" s="40" t="s">
        <v>705</v>
      </c>
      <c r="F33" s="74">
        <f t="shared" si="0"/>
        <v>40</v>
      </c>
      <c r="G33" s="74">
        <f t="shared" si="1"/>
        <v>1000</v>
      </c>
      <c r="I33" t="str">
        <f t="shared" si="2"/>
        <v>"Panier": {
 "Name" : "Panier",
 "OV" : "Basket",
 "Category": "VARIOUS",
 "Weight" : 1000,
 "Price" : 40
  }</v>
      </c>
    </row>
    <row r="34" spans="1:14">
      <c r="A34" s="78" t="s">
        <v>613</v>
      </c>
      <c r="B34" s="78" t="s">
        <v>614</v>
      </c>
      <c r="C34" s="79" t="s">
        <v>24</v>
      </c>
      <c r="D34" s="91" t="s">
        <v>298</v>
      </c>
      <c r="E34" s="40" t="s">
        <v>705</v>
      </c>
      <c r="F34" s="74">
        <f t="shared" si="0"/>
        <v>20</v>
      </c>
      <c r="G34" s="74" t="str">
        <f t="shared" si="1"/>
        <v>0</v>
      </c>
      <c r="H34" s="88"/>
      <c r="I34" t="str">
        <f t="shared" si="2"/>
        <v>"Papier (une feuille)": {
 "Name" : "Papier (une feuille)",
 "OV" : "Paper",
 "Category": "VARIOUS",
 "Weight" : 0,
 "Price" : 20
  }</v>
      </c>
      <c r="J34" s="40"/>
      <c r="K34" s="40"/>
      <c r="L34" s="40"/>
      <c r="M34" s="40"/>
      <c r="N34" s="40"/>
    </row>
    <row r="35" spans="1:14">
      <c r="A35" s="80" t="s">
        <v>615</v>
      </c>
      <c r="B35" s="80" t="s">
        <v>616</v>
      </c>
      <c r="C35" s="81" t="s">
        <v>34</v>
      </c>
      <c r="D35" s="90" t="s">
        <v>298</v>
      </c>
      <c r="E35" s="40" t="s">
        <v>705</v>
      </c>
      <c r="F35" s="74">
        <f t="shared" si="0"/>
        <v>10</v>
      </c>
      <c r="G35" s="74" t="str">
        <f t="shared" si="1"/>
        <v>0</v>
      </c>
      <c r="H35" s="88"/>
      <c r="I35" t="str">
        <f t="shared" si="2"/>
        <v>"Parchemin (une feuille)": {
 "Name" : "Parchemin (une feuille)",
 "OV" : "Parchment",
 "Category": "VARIOUS",
 "Weight" : 0,
 "Price" : 10
  }</v>
      </c>
      <c r="J35" s="40"/>
      <c r="K35" s="40"/>
      <c r="L35" s="40"/>
      <c r="M35" s="40"/>
      <c r="N35" s="40"/>
    </row>
    <row r="36" spans="1:14">
      <c r="A36" s="78" t="s">
        <v>617</v>
      </c>
      <c r="B36" s="78" t="s">
        <v>618</v>
      </c>
      <c r="C36" s="79" t="s">
        <v>38</v>
      </c>
      <c r="D36" s="91" t="s">
        <v>298</v>
      </c>
      <c r="E36" s="40" t="s">
        <v>705</v>
      </c>
      <c r="F36" s="74">
        <f t="shared" si="0"/>
        <v>500</v>
      </c>
      <c r="G36" s="74" t="str">
        <f t="shared" si="1"/>
        <v>0</v>
      </c>
      <c r="H36" s="88"/>
      <c r="I36" t="str">
        <f t="shared" si="2"/>
        <v>"Parfum (fiole)": {
 "Name" : "Parfum (fiole)",
 "OV" : "Perfum",
 "Category": "VARIOUS",
 "Weight" : 0,
 "Price" : 500
  }</v>
      </c>
      <c r="J36" s="40"/>
      <c r="K36" s="40"/>
      <c r="L36" s="40"/>
      <c r="M36" s="40"/>
      <c r="N36" s="40"/>
    </row>
    <row r="37" spans="1:14">
      <c r="A37" s="80" t="s">
        <v>619</v>
      </c>
      <c r="B37" s="80" t="s">
        <v>620</v>
      </c>
      <c r="C37" s="81" t="s">
        <v>29</v>
      </c>
      <c r="D37" s="81" t="s">
        <v>60</v>
      </c>
      <c r="E37" s="40" t="s">
        <v>705</v>
      </c>
      <c r="F37" s="74">
        <f t="shared" si="0"/>
        <v>200</v>
      </c>
      <c r="G37" s="74">
        <f t="shared" si="1"/>
        <v>2500</v>
      </c>
      <c r="H37" s="88"/>
      <c r="I37" t="str">
        <f t="shared" si="2"/>
        <v>"Pelle": {
 "Name" : "Pelle",
 "OV" : "Shovel",
 "Category": "VARIOUS",
 "Weight" : 2500,
 "Price" : 200
  }</v>
      </c>
      <c r="J37" s="40"/>
      <c r="K37" s="40"/>
      <c r="L37" s="40"/>
      <c r="M37" s="40"/>
      <c r="N37" s="40"/>
    </row>
    <row r="38" spans="1:14">
      <c r="A38" s="78" t="s">
        <v>621</v>
      </c>
      <c r="B38" s="78" t="s">
        <v>622</v>
      </c>
      <c r="C38" s="79" t="s">
        <v>67</v>
      </c>
      <c r="D38" s="79" t="s">
        <v>76</v>
      </c>
      <c r="E38" s="40" t="s">
        <v>705</v>
      </c>
      <c r="F38" s="74">
        <f t="shared" si="0"/>
        <v>5</v>
      </c>
      <c r="G38" s="74">
        <f t="shared" si="1"/>
        <v>3000</v>
      </c>
      <c r="H38" s="88"/>
      <c r="I38" t="str">
        <f t="shared" si="2"/>
        <v>"Perche (3 m)": {
 "Name" : "Perche (3 m)",
 "OV" : "Pole",
 "Category": "VARIOUS",
 "Weight" : 3000,
 "Price" : 5
  }</v>
      </c>
      <c r="J38" s="40"/>
      <c r="K38" s="40"/>
      <c r="L38" s="40"/>
      <c r="M38" s="40"/>
      <c r="N38" s="40"/>
    </row>
    <row r="39" spans="1:14" s="88" customFormat="1">
      <c r="A39" s="80" t="s">
        <v>623</v>
      </c>
      <c r="B39" s="80" t="s">
        <v>624</v>
      </c>
      <c r="C39" s="81" t="s">
        <v>29</v>
      </c>
      <c r="D39" s="81" t="s">
        <v>23</v>
      </c>
      <c r="E39" s="40" t="s">
        <v>705</v>
      </c>
      <c r="F39" s="74">
        <f t="shared" si="0"/>
        <v>200</v>
      </c>
      <c r="G39" s="74">
        <f t="shared" si="1"/>
        <v>2000</v>
      </c>
      <c r="I39" t="str">
        <f t="shared" si="2"/>
        <v>"Pied-de-biche": {
 "Name" : "Pied-de-biche",
 "OV" : "Crowbar",
 "Category": "VARIOUS",
 "Weight" : 2000,
 "Price" : 200
  }</v>
      </c>
    </row>
    <row r="40" spans="1:14">
      <c r="A40" s="78" t="s">
        <v>625</v>
      </c>
      <c r="B40" s="78" t="s">
        <v>626</v>
      </c>
      <c r="C40" s="79" t="s">
        <v>38</v>
      </c>
      <c r="D40" s="79" t="s">
        <v>526</v>
      </c>
      <c r="E40" s="40" t="s">
        <v>705</v>
      </c>
      <c r="F40" s="74">
        <f t="shared" si="0"/>
        <v>500</v>
      </c>
      <c r="G40" s="74">
        <f t="shared" si="1"/>
        <v>12500</v>
      </c>
      <c r="H40" s="88"/>
      <c r="I40" t="str">
        <f t="shared" si="2"/>
        <v>"Piège à mâchoires": {
 "Name" : "Piège à mâchoires",
 "OV" : "Hunting Trap",
 "Category": "VARIOUS",
 "Weight" : 12500,
 "Price" : 500
  }</v>
      </c>
      <c r="J40" s="40"/>
      <c r="K40" s="40"/>
      <c r="L40" s="40"/>
      <c r="M40" s="40"/>
      <c r="N40" s="40"/>
    </row>
    <row r="41" spans="1:14">
      <c r="A41" s="80" t="s">
        <v>627</v>
      </c>
      <c r="B41" s="80" t="s">
        <v>628</v>
      </c>
      <c r="C41" s="81" t="s">
        <v>505</v>
      </c>
      <c r="D41" s="81" t="s">
        <v>28</v>
      </c>
      <c r="E41" s="40" t="s">
        <v>705</v>
      </c>
      <c r="F41" s="74">
        <f t="shared" si="0"/>
        <v>1</v>
      </c>
      <c r="G41" s="74" t="str">
        <f t="shared" si="1"/>
        <v>500</v>
      </c>
      <c r="H41" s="88"/>
      <c r="I41" t="str">
        <f t="shared" si="2"/>
        <v>"Pierre à aiguiser": {
 "Name" : "Pierre à aiguiser",
 "OV" : "Whetstone",
 "Category": "VARIOUS",
 "Weight" : 500,
 "Price" : 1
  }</v>
      </c>
      <c r="J41" s="40"/>
      <c r="K41" s="40"/>
      <c r="L41" s="40"/>
      <c r="M41" s="40"/>
      <c r="N41" s="40"/>
    </row>
    <row r="42" spans="1:14">
      <c r="A42" s="78" t="s">
        <v>629</v>
      </c>
      <c r="B42" s="78" t="s">
        <v>630</v>
      </c>
      <c r="C42" s="79" t="s">
        <v>29</v>
      </c>
      <c r="D42" s="79" t="s">
        <v>53</v>
      </c>
      <c r="E42" s="40" t="s">
        <v>705</v>
      </c>
      <c r="F42" s="74">
        <f t="shared" si="0"/>
        <v>200</v>
      </c>
      <c r="G42" s="74">
        <f t="shared" si="1"/>
        <v>5000</v>
      </c>
      <c r="H42" s="88"/>
      <c r="I42" t="str">
        <f t="shared" si="2"/>
        <v>"Pioche de mineur": {
 "Name" : "Pioche de mineur",
 "OV" : "Pick, miner's",
 "Category": "VARIOUS",
 "Weight" : 5000,
 "Price" : 200
  }</v>
      </c>
      <c r="J42" s="40"/>
      <c r="K42" s="40"/>
      <c r="L42" s="40"/>
      <c r="M42" s="40"/>
      <c r="N42" s="40"/>
    </row>
    <row r="43" spans="1:14" s="88" customFormat="1">
      <c r="A43" s="80" t="s">
        <v>631</v>
      </c>
      <c r="B43" s="80" t="s">
        <v>631</v>
      </c>
      <c r="C43" s="81" t="s">
        <v>67</v>
      </c>
      <c r="D43" s="81" t="s">
        <v>66</v>
      </c>
      <c r="E43" s="40" t="s">
        <v>705</v>
      </c>
      <c r="F43" s="74">
        <f t="shared" si="0"/>
        <v>5</v>
      </c>
      <c r="G43" s="74" t="str">
        <f t="shared" si="1"/>
        <v>100</v>
      </c>
      <c r="I43" t="str">
        <f t="shared" si="2"/>
        <v>"Piton": {
 "Name" : "Piton",
 "OV" : "Piton",
 "Category": "VARIOUS",
 "Weight" : 100,
 "Price" : 5
  }</v>
      </c>
    </row>
    <row r="44" spans="1:14" s="88" customFormat="1">
      <c r="A44" s="78" t="s">
        <v>632</v>
      </c>
      <c r="B44" s="78" t="s">
        <v>633</v>
      </c>
      <c r="C44" s="79" t="s">
        <v>537</v>
      </c>
      <c r="D44" s="91" t="s">
        <v>298</v>
      </c>
      <c r="E44" s="40" t="s">
        <v>705</v>
      </c>
      <c r="F44" s="74">
        <f t="shared" si="0"/>
        <v>2</v>
      </c>
      <c r="G44" s="74" t="str">
        <f t="shared" si="1"/>
        <v>0</v>
      </c>
      <c r="I44" t="str">
        <f t="shared" si="2"/>
        <v>"Plume d’écriture": {
 "Name" : "Plume d’écriture",
 "OV" : "Ink pen",
 "Category": "VARIOUS",
 "Weight" : 0,
 "Price" : 2
  }</v>
      </c>
    </row>
    <row r="45" spans="1:14">
      <c r="A45" s="80" t="s">
        <v>634</v>
      </c>
      <c r="B45" s="80" t="s">
        <v>635</v>
      </c>
      <c r="C45" s="81" t="s">
        <v>46</v>
      </c>
      <c r="D45" s="81" t="s">
        <v>60</v>
      </c>
      <c r="E45" s="40" t="s">
        <v>705</v>
      </c>
      <c r="F45" s="74">
        <f t="shared" si="0"/>
        <v>100</v>
      </c>
      <c r="G45" s="74">
        <f t="shared" si="1"/>
        <v>2500</v>
      </c>
      <c r="H45" s="88"/>
      <c r="I45" t="str">
        <f t="shared" si="2"/>
        <v>"Pointes en fer (10)": {
 "Name" : "Pointes en fer (10)",
 "OV" : "Spikes, iron",
 "Category": "VARIOUS",
 "Weight" : 2500,
 "Price" : 100
  }</v>
      </c>
    </row>
    <row r="46" spans="1:14">
      <c r="A46" s="78" t="s">
        <v>636</v>
      </c>
      <c r="B46" s="78" t="s">
        <v>637</v>
      </c>
      <c r="C46" s="79" t="s">
        <v>590</v>
      </c>
      <c r="D46" s="91" t="s">
        <v>298</v>
      </c>
      <c r="E46" s="40" t="s">
        <v>705</v>
      </c>
      <c r="F46" s="74">
        <f t="shared" si="0"/>
        <v>10000</v>
      </c>
      <c r="G46" s="74" t="str">
        <f t="shared" si="1"/>
        <v>0</v>
      </c>
      <c r="H46" s="88"/>
      <c r="I46" t="str">
        <f t="shared" si="2"/>
        <v>"Poison (fiole)": {
 "Name" : "Poison (fiole)",
 "OV" : "Poison",
 "Category": "VARIOUS",
 "Weight" : 0,
 "Price" : 10000
  }</v>
      </c>
    </row>
    <row r="47" spans="1:14">
      <c r="A47" s="80" t="s">
        <v>638</v>
      </c>
      <c r="B47" s="80" t="s">
        <v>639</v>
      </c>
      <c r="C47" s="81" t="s">
        <v>29</v>
      </c>
      <c r="D47" s="81" t="s">
        <v>53</v>
      </c>
      <c r="E47" s="40" t="s">
        <v>705</v>
      </c>
      <c r="F47" s="74">
        <f t="shared" si="0"/>
        <v>200</v>
      </c>
      <c r="G47" s="74">
        <f t="shared" si="1"/>
        <v>5000</v>
      </c>
      <c r="H47" s="88"/>
      <c r="I47" t="str">
        <f t="shared" si="2"/>
        <v>"Pot en fer": {
 "Name" : "Pot en fer",
 "OV" : "Pot, iron",
 "Category": "VARIOUS",
 "Weight" : 5000,
 "Price" : 200
  }</v>
      </c>
    </row>
    <row r="48" spans="1:14">
      <c r="A48" s="89" t="s">
        <v>640</v>
      </c>
      <c r="B48" s="78" t="s">
        <v>641</v>
      </c>
      <c r="C48" s="79" t="s">
        <v>81</v>
      </c>
      <c r="D48" s="79" t="s">
        <v>421</v>
      </c>
      <c r="E48" s="40" t="s">
        <v>705</v>
      </c>
      <c r="F48" s="74">
        <f t="shared" si="0"/>
        <v>5000</v>
      </c>
      <c r="G48" s="74" t="str">
        <f t="shared" si="1"/>
        <v>250</v>
      </c>
      <c r="H48" s="88"/>
      <c r="I48" t="str">
        <f t="shared" si="2"/>
        <v>"Potion de soins": {
 "Name" : "Potion de soins",
 "OV" : "Potion of Healing",
 "Category": "VARIOUS",
 "Weight" : 250,
 "Price" : 5000
  }</v>
      </c>
    </row>
    <row r="49" spans="1:9" s="88" customFormat="1">
      <c r="A49" s="80" t="s">
        <v>642</v>
      </c>
      <c r="B49" s="80" t="s">
        <v>643</v>
      </c>
      <c r="C49" s="81" t="s">
        <v>42</v>
      </c>
      <c r="D49" s="81" t="s">
        <v>33</v>
      </c>
      <c r="E49" s="40" t="s">
        <v>705</v>
      </c>
      <c r="F49" s="74">
        <f t="shared" si="0"/>
        <v>50</v>
      </c>
      <c r="G49" s="74">
        <f t="shared" si="1"/>
        <v>1000</v>
      </c>
      <c r="I49" t="str">
        <f t="shared" si="2"/>
        <v>"Rations (1 jour)": {
 "Name" : "Rations (1 jour)",
 "OV" : "Rations",
 "Category": "VARIOUS",
 "Weight" : 1000,
 "Price" : 50
  }</v>
      </c>
    </row>
    <row r="50" spans="1:9">
      <c r="A50" s="78" t="s">
        <v>644</v>
      </c>
      <c r="B50" s="78" t="s">
        <v>644</v>
      </c>
      <c r="C50" s="79" t="s">
        <v>46</v>
      </c>
      <c r="D50" s="79" t="s">
        <v>23</v>
      </c>
      <c r="E50" s="40" t="s">
        <v>705</v>
      </c>
      <c r="F50" s="74">
        <f t="shared" si="0"/>
        <v>100</v>
      </c>
      <c r="G50" s="74">
        <f t="shared" si="1"/>
        <v>2000</v>
      </c>
      <c r="H50" s="88"/>
      <c r="I50" t="str">
        <f t="shared" si="2"/>
        <v>"Robes": {
 "Name" : "Robes",
 "OV" : "Robes",
 "Category": "VARIOUS",
 "Weight" : 2000,
 "Price" : 100
  }</v>
      </c>
    </row>
    <row r="51" spans="1:9">
      <c r="A51" s="80" t="s">
        <v>645</v>
      </c>
      <c r="B51" s="80" t="s">
        <v>646</v>
      </c>
      <c r="C51" s="81" t="s">
        <v>61</v>
      </c>
      <c r="D51" s="81" t="s">
        <v>28</v>
      </c>
      <c r="E51" s="40" t="s">
        <v>705</v>
      </c>
      <c r="F51" s="74">
        <f t="shared" si="0"/>
        <v>2500</v>
      </c>
      <c r="G51" s="74" t="str">
        <f t="shared" si="1"/>
        <v>500</v>
      </c>
      <c r="H51" s="88"/>
      <c r="I51" t="str">
        <f t="shared" si="2"/>
        <v>"Sablier": {
 "Name" : "Sablier",
 "OV" : "Hourglass",
 "Category": "VARIOUS",
 "Weight" : 500,
 "Price" : 2500
  }</v>
      </c>
    </row>
    <row r="52" spans="1:9">
      <c r="A52" s="78" t="s">
        <v>647</v>
      </c>
      <c r="B52" s="78" t="s">
        <v>648</v>
      </c>
      <c r="C52" s="79" t="s">
        <v>505</v>
      </c>
      <c r="D52" s="79" t="s">
        <v>421</v>
      </c>
      <c r="E52" s="40" t="s">
        <v>705</v>
      </c>
      <c r="F52" s="74">
        <f t="shared" si="0"/>
        <v>1</v>
      </c>
      <c r="G52" s="74" t="str">
        <f t="shared" si="1"/>
        <v>250</v>
      </c>
      <c r="H52" s="88"/>
      <c r="I52" t="str">
        <f t="shared" si="2"/>
        <v>"Sac": {
 "Name" : "Sac",
 "OV" : "Sack",
 "Category": "VARIOUS",
 "Weight" : 250,
 "Price" : 1
  }</v>
      </c>
    </row>
    <row r="53" spans="1:9" s="88" customFormat="1">
      <c r="A53" s="80" t="s">
        <v>649</v>
      </c>
      <c r="B53" s="80" t="s">
        <v>650</v>
      </c>
      <c r="C53" s="81" t="s">
        <v>29</v>
      </c>
      <c r="D53" s="81" t="s">
        <v>60</v>
      </c>
      <c r="E53" s="40" t="s">
        <v>705</v>
      </c>
      <c r="F53" s="74">
        <f t="shared" si="0"/>
        <v>200</v>
      </c>
      <c r="G53" s="74">
        <f t="shared" si="1"/>
        <v>2500</v>
      </c>
      <c r="I53" t="str">
        <f t="shared" si="2"/>
        <v>"Sac à dos": {
 "Name" : "Sac à dos",
 "OV" : "Backpack",
 "Category": "VARIOUS",
 "Weight" : 2500,
 "Price" : 200
  }</v>
      </c>
    </row>
    <row r="54" spans="1:9">
      <c r="A54" s="78" t="s">
        <v>651</v>
      </c>
      <c r="B54" s="78" t="s">
        <v>652</v>
      </c>
      <c r="C54" s="79" t="s">
        <v>46</v>
      </c>
      <c r="D54" s="79" t="s">
        <v>23</v>
      </c>
      <c r="E54" s="40" t="s">
        <v>705</v>
      </c>
      <c r="F54" s="74">
        <f t="shared" si="0"/>
        <v>100</v>
      </c>
      <c r="G54" s="74">
        <f t="shared" si="1"/>
        <v>2000</v>
      </c>
      <c r="H54" s="88"/>
      <c r="I54" t="str">
        <f t="shared" si="2"/>
        <v>"Sac de couchage": {
 "Name" : "Sac de couchage",
 "OV" : "Bedroll",
 "Category": "VARIOUS",
 "Weight" : 2000,
 "Price" : 100
  }</v>
      </c>
    </row>
    <row r="55" spans="1:9">
      <c r="A55" s="80" t="s">
        <v>653</v>
      </c>
      <c r="B55" s="80" t="s">
        <v>654</v>
      </c>
      <c r="C55" s="81" t="s">
        <v>42</v>
      </c>
      <c r="D55" s="81" t="s">
        <v>28</v>
      </c>
      <c r="E55" s="40" t="s">
        <v>705</v>
      </c>
      <c r="F55" s="74">
        <f t="shared" si="0"/>
        <v>50</v>
      </c>
      <c r="G55" s="74" t="str">
        <f t="shared" si="1"/>
        <v>500</v>
      </c>
      <c r="H55" s="88"/>
      <c r="I55" t="str">
        <f t="shared" si="2"/>
        <v>"Sacoche": {
 "Name" : "Sacoche",
 "OV" : "Pouch",
 "Category": "VARIOUS",
 "Weight" : 500,
 "Price" : 50
  }</v>
      </c>
    </row>
    <row r="56" spans="1:9">
      <c r="A56" s="78" t="s">
        <v>655</v>
      </c>
      <c r="B56" s="78" t="s">
        <v>656</v>
      </c>
      <c r="C56" s="79" t="s">
        <v>61</v>
      </c>
      <c r="D56" s="79" t="s">
        <v>33</v>
      </c>
      <c r="E56" s="40" t="s">
        <v>705</v>
      </c>
      <c r="F56" s="74">
        <f t="shared" si="0"/>
        <v>2500</v>
      </c>
      <c r="G56" s="74">
        <f t="shared" si="1"/>
        <v>1000</v>
      </c>
      <c r="H56" s="88"/>
      <c r="I56" t="str">
        <f t="shared" si="2"/>
        <v>"Sacoche à composantes": {
 "Name" : "Sacoche à composantes",
 "OV" : "Component Pouch",
 "Category": "VARIOUS",
 "Weight" : 1000,
 "Price" : 2500
  }</v>
      </c>
    </row>
    <row r="57" spans="1:9">
      <c r="A57" s="80" t="s">
        <v>657</v>
      </c>
      <c r="B57" s="80" t="s">
        <v>658</v>
      </c>
      <c r="C57" s="81" t="s">
        <v>537</v>
      </c>
      <c r="D57" s="90" t="s">
        <v>298</v>
      </c>
      <c r="E57" s="40" t="s">
        <v>705</v>
      </c>
      <c r="F57" s="74">
        <f t="shared" si="0"/>
        <v>2</v>
      </c>
      <c r="G57" s="74" t="str">
        <f t="shared" si="1"/>
        <v>0</v>
      </c>
      <c r="H57" s="88"/>
      <c r="I57" t="str">
        <f t="shared" si="2"/>
        <v>"Savon": {
 "Name" : "Savon",
 "OV" : "Soap",
 "Category": "VARIOUS",
 "Weight" : 0,
 "Price" : 2
  }</v>
      </c>
    </row>
    <row r="58" spans="1:9">
      <c r="A58" s="78" t="s">
        <v>659</v>
      </c>
      <c r="B58" s="78" t="s">
        <v>660</v>
      </c>
      <c r="C58" s="79" t="s">
        <v>67</v>
      </c>
      <c r="D58" s="79" t="s">
        <v>33</v>
      </c>
      <c r="E58" s="40" t="s">
        <v>705</v>
      </c>
      <c r="F58" s="74">
        <f t="shared" si="0"/>
        <v>5</v>
      </c>
      <c r="G58" s="74">
        <f t="shared" si="1"/>
        <v>1000</v>
      </c>
      <c r="H58" s="88"/>
      <c r="I58" t="str">
        <f t="shared" si="2"/>
        <v>"Seau": {
 "Name" : "Seau",
 "OV" : "Bucket",
 "Category": "VARIOUS",
 "Weight" : 1000,
 "Price" : 5
  }</v>
      </c>
    </row>
    <row r="59" spans="1:9">
      <c r="A59" s="80" t="s">
        <v>661</v>
      </c>
      <c r="B59" s="80" t="s">
        <v>662</v>
      </c>
      <c r="C59" s="81" t="s">
        <v>67</v>
      </c>
      <c r="D59" s="90" t="s">
        <v>298</v>
      </c>
      <c r="E59" s="40" t="s">
        <v>705</v>
      </c>
      <c r="F59" s="74">
        <f t="shared" si="0"/>
        <v>5</v>
      </c>
      <c r="G59" s="74" t="str">
        <f t="shared" si="1"/>
        <v>0</v>
      </c>
      <c r="H59" s="88"/>
      <c r="I59" t="str">
        <f t="shared" si="2"/>
        <v>"Sifflet": {
 "Name" : "Sifflet",
 "OV" : "Signal whistle",
 "Category": "VARIOUS",
 "Weight" : 0,
 "Price" : 5
  }</v>
      </c>
    </row>
    <row r="60" spans="1:9">
      <c r="A60" s="80" t="s">
        <v>567</v>
      </c>
      <c r="B60" s="80" t="s">
        <v>568</v>
      </c>
      <c r="C60" s="81" t="s">
        <v>24</v>
      </c>
      <c r="D60" s="81" t="s">
        <v>28</v>
      </c>
      <c r="E60" s="40" t="s">
        <v>705</v>
      </c>
      <c r="F60" s="74">
        <f t="shared" si="0"/>
        <v>20</v>
      </c>
      <c r="G60" s="74" t="str">
        <f t="shared" si="1"/>
        <v>500</v>
      </c>
      <c r="H60" s="88"/>
      <c r="I60" t="str">
        <f t="shared" si="2"/>
        <v>"Gamelle": {
 "Name" : "Gamelle",
 "OV" : "Mess Kit",
 "Category": "VARIOUS",
 "Weight" : 500,
 "Price" : 20
  }</v>
      </c>
    </row>
    <row r="61" spans="1:9">
      <c r="A61" s="78" t="s">
        <v>569</v>
      </c>
      <c r="B61" s="78" t="s">
        <v>570</v>
      </c>
      <c r="C61" s="79" t="s">
        <v>24</v>
      </c>
      <c r="D61" s="79" t="s">
        <v>60</v>
      </c>
      <c r="E61" s="40" t="s">
        <v>705</v>
      </c>
      <c r="F61" s="74">
        <f t="shared" si="0"/>
        <v>20</v>
      </c>
      <c r="G61" s="74">
        <f t="shared" si="1"/>
        <v>2500</v>
      </c>
      <c r="H61" s="88"/>
      <c r="I61" t="str">
        <f t="shared" si="2"/>
        <v>"Gourde (pleine)": {
 "Name" : "Gourde (pleine)",
 "OV" : "Waterskin",
 "Category": "VARIOUS",
 "Weight" : 2500,
 "Price" : 20
  }</v>
      </c>
    </row>
    <row r="62" spans="1:9">
      <c r="A62" s="80" t="s">
        <v>571</v>
      </c>
      <c r="B62" s="80" t="s">
        <v>572</v>
      </c>
      <c r="C62" s="81" t="s">
        <v>29</v>
      </c>
      <c r="D62" s="81" t="s">
        <v>23</v>
      </c>
      <c r="E62" s="40" t="s">
        <v>705</v>
      </c>
      <c r="F62" s="74">
        <f t="shared" si="0"/>
        <v>200</v>
      </c>
      <c r="G62" s="74">
        <f t="shared" si="1"/>
        <v>2000</v>
      </c>
      <c r="H62" s="88"/>
      <c r="I62" t="str">
        <f t="shared" si="2"/>
        <v>"Grappin": {
 "Name" : "Grappin",
 "OV" : "Grappling hook",
 "Category": "VARIOUS",
 "Weight" : 2000,
 "Price" : 200
  }</v>
      </c>
    </row>
    <row r="63" spans="1:9">
      <c r="A63" s="78" t="s">
        <v>573</v>
      </c>
      <c r="B63" s="78" t="s">
        <v>574</v>
      </c>
      <c r="C63" s="79" t="s">
        <v>81</v>
      </c>
      <c r="D63" s="79" t="s">
        <v>45</v>
      </c>
      <c r="E63" s="40" t="s">
        <v>705</v>
      </c>
      <c r="F63" s="74">
        <f t="shared" si="0"/>
        <v>5000</v>
      </c>
      <c r="G63" s="74">
        <f t="shared" si="1"/>
        <v>1500</v>
      </c>
      <c r="H63" s="88"/>
      <c r="I63" t="str">
        <f t="shared" si="2"/>
        <v>"Grimoire": {
 "Name" : "Grimoire",
 "OV" : "Spellbook",
 "Category": "VARIOUS",
 "Weight" : 1500,
 "Price" : 5000
  }</v>
      </c>
    </row>
    <row r="64" spans="1:9">
      <c r="A64" s="80" t="s">
        <v>575</v>
      </c>
      <c r="B64" s="80" t="s">
        <v>576</v>
      </c>
      <c r="C64" s="81" t="s">
        <v>34</v>
      </c>
      <c r="D64" s="81" t="s">
        <v>28</v>
      </c>
      <c r="E64" s="40" t="s">
        <v>705</v>
      </c>
      <c r="F64" s="74">
        <f t="shared" si="0"/>
        <v>10</v>
      </c>
      <c r="G64" s="74" t="str">
        <f t="shared" si="1"/>
        <v>500</v>
      </c>
      <c r="H64" s="88"/>
      <c r="I64" t="str">
        <f t="shared" si="2"/>
        <v>"Huile (flasque)": {
 "Name" : "Huile (flasque)",
 "OV" : "Oil",
 "Category": "VARIOUS",
 "Weight" : 500,
 "Price" : 10
  }</v>
      </c>
    </row>
    <row r="65" spans="1:9">
      <c r="A65" s="78" t="s">
        <v>577</v>
      </c>
      <c r="B65" s="78" t="s">
        <v>578</v>
      </c>
      <c r="C65" s="79" t="s">
        <v>42</v>
      </c>
      <c r="D65" s="79" t="s">
        <v>28</v>
      </c>
      <c r="E65" s="40" t="s">
        <v>705</v>
      </c>
      <c r="F65" s="74">
        <f t="shared" si="0"/>
        <v>50</v>
      </c>
      <c r="G65" s="74" t="str">
        <f t="shared" si="1"/>
        <v>500</v>
      </c>
      <c r="H65" s="88"/>
      <c r="I65" t="str">
        <f t="shared" si="2"/>
        <v>"Lampe": {
 "Name" : "Lampe",
 "OV" : "Lamp",
 "Category": "VARIOUS",
 "Weight" : 500,
 "Price" : 50
  }</v>
      </c>
    </row>
    <row r="66" spans="1:9">
      <c r="A66" s="80" t="s">
        <v>579</v>
      </c>
      <c r="B66" s="80" t="s">
        <v>580</v>
      </c>
      <c r="C66" s="81" t="s">
        <v>38</v>
      </c>
      <c r="D66" s="81" t="s">
        <v>33</v>
      </c>
      <c r="E66" s="40" t="s">
        <v>705</v>
      </c>
      <c r="F66" s="74">
        <f t="shared" si="0"/>
        <v>500</v>
      </c>
      <c r="G66" s="74">
        <f t="shared" si="1"/>
        <v>1000</v>
      </c>
      <c r="H66" s="88"/>
      <c r="I66" t="str">
        <f t="shared" si="2"/>
        <v>"Lanterne à capote": {
 "Name" : "Lanterne à capote",
 "OV" : "Lantern, hooded",
 "Category": "VARIOUS",
 "Weight" : 1000,
 "Price" : 500
  }</v>
      </c>
    </row>
    <row r="67" spans="1:9">
      <c r="A67" s="78" t="s">
        <v>581</v>
      </c>
      <c r="B67" s="78" t="s">
        <v>582</v>
      </c>
      <c r="C67" s="79" t="s">
        <v>84</v>
      </c>
      <c r="D67" s="79" t="s">
        <v>33</v>
      </c>
      <c r="E67" s="40" t="s">
        <v>705</v>
      </c>
      <c r="F67" s="74">
        <f t="shared" si="0"/>
        <v>1000</v>
      </c>
      <c r="G67" s="74">
        <f t="shared" si="1"/>
        <v>1000</v>
      </c>
      <c r="H67" s="88"/>
      <c r="I67" t="str">
        <f t="shared" si="2"/>
        <v>"Lanterne sourde": {
 "Name" : "Lanterne sourde",
 "OV" : "Lantern, bullseye",
 "Category": "VARIOUS",
 "Weight" : 1000,
 "Price" : 1000
  }</v>
      </c>
    </row>
    <row r="68" spans="1:9">
      <c r="A68" s="80" t="s">
        <v>583</v>
      </c>
      <c r="B68" s="80" t="s">
        <v>584</v>
      </c>
      <c r="C68" s="81" t="s">
        <v>61</v>
      </c>
      <c r="D68" s="81" t="s">
        <v>60</v>
      </c>
      <c r="E68" s="40" t="s">
        <v>705</v>
      </c>
      <c r="F68" s="74">
        <f t="shared" ref="F68:F106" si="3">LEFT(C68,LEN(C68)-3)*IF(RIGHT(C68,2)="po",100,IF(RIGHT(C68,2)="pa",10,1))</f>
        <v>2500</v>
      </c>
      <c r="G68" s="74">
        <f t="shared" ref="G68:G106" si="4">IF(RIGHT(D68,2)="kg",LEFT(D68,LEN(D68)-3)*1000,LEFT(D68,LEN(D68)-2))</f>
        <v>2500</v>
      </c>
      <c r="H68" s="88"/>
      <c r="I68" t="str">
        <f t="shared" si="2"/>
        <v>"Livre": {
 "Name" : "Livre",
 "OV" : "Book",
 "Category": "VARIOUS",
 "Weight" : 2500,
 "Price" : 2500
  }</v>
      </c>
    </row>
    <row r="69" spans="1:9">
      <c r="A69" s="78" t="s">
        <v>585</v>
      </c>
      <c r="B69" s="78" t="s">
        <v>586</v>
      </c>
      <c r="C69" s="79" t="s">
        <v>587</v>
      </c>
      <c r="D69" s="79" t="s">
        <v>28</v>
      </c>
      <c r="E69" s="40" t="s">
        <v>705</v>
      </c>
      <c r="F69" s="74">
        <f t="shared" si="3"/>
        <v>100000</v>
      </c>
      <c r="G69" s="74" t="str">
        <f t="shared" si="4"/>
        <v>500</v>
      </c>
      <c r="H69" s="88"/>
      <c r="I69" t="str">
        <f t="shared" si="2"/>
        <v>"Longue-vue": {
 "Name" : "Longue-vue",
 "OV" : "Spyglass",
 "Category": "VARIOUS",
 "Weight" : 500,
 "Price" : 100000
  }</v>
      </c>
    </row>
    <row r="70" spans="1:9">
      <c r="A70" s="80" t="s">
        <v>588</v>
      </c>
      <c r="B70" s="80" t="s">
        <v>589</v>
      </c>
      <c r="C70" s="81" t="s">
        <v>590</v>
      </c>
      <c r="D70" s="90" t="s">
        <v>298</v>
      </c>
      <c r="E70" s="40" t="s">
        <v>705</v>
      </c>
      <c r="F70" s="74">
        <f t="shared" si="3"/>
        <v>10000</v>
      </c>
      <c r="G70" s="74" t="str">
        <f t="shared" si="4"/>
        <v>0</v>
      </c>
      <c r="H70" s="88"/>
      <c r="I70" t="str">
        <f t="shared" si="2"/>
        <v>"Loupe": {
 "Name" : "Loupe",
 "OV" : "Magnifying Glass",
 "Category": "VARIOUS",
 "Weight" : 0,
 "Price" : 10000
  }</v>
      </c>
    </row>
    <row r="71" spans="1:9">
      <c r="A71" s="78" t="s">
        <v>591</v>
      </c>
      <c r="B71" s="78" t="s">
        <v>592</v>
      </c>
      <c r="C71" s="79" t="s">
        <v>46</v>
      </c>
      <c r="D71" s="79" t="s">
        <v>45</v>
      </c>
      <c r="E71" s="40" t="s">
        <v>705</v>
      </c>
      <c r="F71" s="74">
        <f t="shared" si="3"/>
        <v>100</v>
      </c>
      <c r="G71" s="74">
        <f t="shared" si="4"/>
        <v>1500</v>
      </c>
      <c r="H71" s="88"/>
      <c r="I71" t="str">
        <f t="shared" si="2"/>
        <v>"Marteau": {
 "Name" : "Marteau",
 "OV" : "Hammer",
 "Category": "VARIOUS",
 "Weight" : 1500,
 "Price" : 100
  }</v>
      </c>
    </row>
    <row r="72" spans="1:9">
      <c r="A72" s="80" t="s">
        <v>593</v>
      </c>
      <c r="B72" s="80" t="s">
        <v>594</v>
      </c>
      <c r="C72" s="81" t="s">
        <v>29</v>
      </c>
      <c r="D72" s="81" t="s">
        <v>53</v>
      </c>
      <c r="E72" s="40" t="s">
        <v>705</v>
      </c>
      <c r="F72" s="74">
        <f t="shared" si="3"/>
        <v>200</v>
      </c>
      <c r="G72" s="74">
        <f t="shared" si="4"/>
        <v>5000</v>
      </c>
      <c r="H72" s="88"/>
      <c r="I72" t="str">
        <f t="shared" si="2"/>
        <v>"Marteau de forgeron": {
 "Name" : "Marteau de forgeron",
 "OV" : "Hammer, sledge",
 "Category": "VARIOUS",
 "Weight" : 5000,
 "Price" : 200
  }</v>
      </c>
    </row>
    <row r="73" spans="1:9">
      <c r="A73" s="78" t="s">
        <v>595</v>
      </c>
      <c r="B73" s="78" t="s">
        <v>596</v>
      </c>
      <c r="C73" s="79" t="s">
        <v>46</v>
      </c>
      <c r="D73" s="79" t="s">
        <v>23</v>
      </c>
      <c r="E73" s="40" t="s">
        <v>705</v>
      </c>
      <c r="F73" s="74">
        <f t="shared" si="3"/>
        <v>100</v>
      </c>
      <c r="G73" s="74">
        <f t="shared" si="4"/>
        <v>2000</v>
      </c>
      <c r="H73" s="88"/>
      <c r="I73" t="str">
        <f t="shared" si="2"/>
        <v>"Matériel de pêche": {
 "Name" : "Matériel de pêche",
 "OV" : "Fishing Tackle",
 "Category": "VARIOUS",
 "Weight" : 2000,
 "Price" : 100
  }</v>
      </c>
    </row>
    <row r="74" spans="1:9">
      <c r="A74" s="80" t="s">
        <v>597</v>
      </c>
      <c r="B74" s="80" t="s">
        <v>598</v>
      </c>
      <c r="C74" s="81" t="s">
        <v>29</v>
      </c>
      <c r="D74" s="81" t="s">
        <v>76</v>
      </c>
      <c r="E74" s="40" t="s">
        <v>705</v>
      </c>
      <c r="F74" s="74">
        <f t="shared" si="3"/>
        <v>200</v>
      </c>
      <c r="G74" s="74">
        <f t="shared" si="4"/>
        <v>3000</v>
      </c>
      <c r="H74" s="88"/>
      <c r="I74" t="str">
        <f t="shared" si="2"/>
        <v>"Menottes": {
 "Name" : "Menottes",
 "OV" : "Manacles",
 "Category": "VARIOUS",
 "Weight" : 3000,
 "Price" : 200
  }</v>
      </c>
    </row>
    <row r="75" spans="1:9">
      <c r="A75" s="78" t="s">
        <v>599</v>
      </c>
      <c r="B75" s="78" t="s">
        <v>600</v>
      </c>
      <c r="C75" s="79" t="s">
        <v>38</v>
      </c>
      <c r="D75" s="79" t="s">
        <v>421</v>
      </c>
      <c r="E75" s="40" t="s">
        <v>705</v>
      </c>
      <c r="F75" s="74">
        <f t="shared" si="3"/>
        <v>500</v>
      </c>
      <c r="G75" s="74" t="str">
        <f t="shared" si="4"/>
        <v>250</v>
      </c>
      <c r="H75" s="88"/>
      <c r="I75" t="str">
        <f t="shared" si="2"/>
        <v>"Miroir en acier": {
 "Name" : "Miroir en acier",
 "OV" : "Mirror, steel",
 "Category": "VARIOUS",
 "Weight" : 250,
 "Price" : 500
  }</v>
      </c>
    </row>
    <row r="76" spans="1:9">
      <c r="A76" s="80" t="s">
        <v>489</v>
      </c>
      <c r="B76" s="80" t="s">
        <v>490</v>
      </c>
      <c r="C76" s="81" t="s">
        <v>61</v>
      </c>
      <c r="D76" s="81" t="s">
        <v>28</v>
      </c>
      <c r="E76" s="40" t="s">
        <v>705</v>
      </c>
      <c r="F76" s="74">
        <f t="shared" si="3"/>
        <v>2500</v>
      </c>
      <c r="G76" s="74" t="str">
        <f t="shared" si="4"/>
        <v>500</v>
      </c>
      <c r="H76" s="88"/>
      <c r="I76" t="str">
        <f t="shared" si="2"/>
        <v>"Acide (fiole)": {
 "Name" : "Acide (fiole)",
 "OV" : "Acid",
 "Category": "VARIOUS",
 "Weight" : 500,
 "Price" : 2500
  }</v>
      </c>
    </row>
    <row r="77" spans="1:9">
      <c r="A77" s="78" t="s">
        <v>491</v>
      </c>
      <c r="B77" s="78" t="s">
        <v>492</v>
      </c>
      <c r="C77" s="79" t="s">
        <v>81</v>
      </c>
      <c r="D77" s="91" t="s">
        <v>298</v>
      </c>
      <c r="E77" s="40" t="s">
        <v>705</v>
      </c>
      <c r="F77" s="74">
        <f t="shared" si="3"/>
        <v>5000</v>
      </c>
      <c r="G77" s="74" t="str">
        <f t="shared" si="4"/>
        <v>0</v>
      </c>
      <c r="H77" s="88"/>
      <c r="I77" t="str">
        <f t="shared" si="2"/>
        <v>"Antidote (fiole)": {
 "Name" : "Antidote (fiole)",
 "OV" : "Antitoxin",
 "Category": "VARIOUS",
 "Weight" : 0,
 "Price" : 5000
  }</v>
      </c>
    </row>
    <row r="78" spans="1:9">
      <c r="A78" s="80" t="s">
        <v>493</v>
      </c>
      <c r="B78" s="80" t="s">
        <v>494</v>
      </c>
      <c r="C78" s="81" t="s">
        <v>38</v>
      </c>
      <c r="D78" s="81" t="s">
        <v>45</v>
      </c>
      <c r="E78" s="40" t="s">
        <v>705</v>
      </c>
      <c r="F78" s="74">
        <f t="shared" si="3"/>
        <v>500</v>
      </c>
      <c r="G78" s="74">
        <f t="shared" si="4"/>
        <v>1500</v>
      </c>
      <c r="H78" s="88"/>
      <c r="I78" t="str">
        <f t="shared" si="2"/>
        <v>"Balance de marchand": {
 "Name" : "Balance de marchand",
 "OV" : "Scale, Merchant’s",
 "Category": "VARIOUS",
 "Weight" : 1500,
 "Price" : 500
  }</v>
      </c>
    </row>
    <row r="79" spans="1:9">
      <c r="A79" s="78" t="s">
        <v>495</v>
      </c>
      <c r="B79" s="78" t="s">
        <v>496</v>
      </c>
      <c r="C79" s="79" t="s">
        <v>497</v>
      </c>
      <c r="D79" s="79" t="s">
        <v>498</v>
      </c>
      <c r="E79" s="40" t="s">
        <v>705</v>
      </c>
      <c r="F79" s="74">
        <f t="shared" si="3"/>
        <v>400</v>
      </c>
      <c r="G79" s="74">
        <f t="shared" si="4"/>
        <v>17500</v>
      </c>
      <c r="H79" s="88"/>
      <c r="I79" t="str">
        <f t="shared" si="2"/>
        <v>"Bélier portatif": {
 "Name" : "Bélier portatif",
 "OV" : "Ram, Portable",
 "Category": "VARIOUS",
 "Weight" : 17500,
 "Price" : 400
  }</v>
      </c>
    </row>
    <row r="80" spans="1:9">
      <c r="A80" s="80" t="s">
        <v>499</v>
      </c>
      <c r="B80" s="80" t="s">
        <v>500</v>
      </c>
      <c r="C80" s="81" t="s">
        <v>46</v>
      </c>
      <c r="D80" s="81" t="s">
        <v>33</v>
      </c>
      <c r="E80" s="40" t="s">
        <v>705</v>
      </c>
      <c r="F80" s="74">
        <f t="shared" si="3"/>
        <v>100</v>
      </c>
      <c r="G80" s="74">
        <f t="shared" si="4"/>
        <v>1000</v>
      </c>
      <c r="H80" s="88"/>
      <c r="I80" t="str">
        <f t="shared" si="2"/>
        <v>"Billes (sac de 1000)": {
 "Name" : "Billes (sac de 1000)",
 "OV" : "Ball Bearings",
 "Category": "VARIOUS",
 "Weight" : 1000,
 "Price" : 100
  }</v>
      </c>
    </row>
    <row r="81" spans="1:9">
      <c r="A81" s="78" t="s">
        <v>501</v>
      </c>
      <c r="B81" s="78" t="s">
        <v>502</v>
      </c>
      <c r="C81" s="79" t="s">
        <v>42</v>
      </c>
      <c r="D81" s="79" t="s">
        <v>28</v>
      </c>
      <c r="E81" s="40" t="s">
        <v>705</v>
      </c>
      <c r="F81" s="74">
        <f t="shared" si="3"/>
        <v>50</v>
      </c>
      <c r="G81" s="74" t="str">
        <f t="shared" si="4"/>
        <v>500</v>
      </c>
      <c r="H81" s="88"/>
      <c r="I81" t="str">
        <f t="shared" si="2"/>
        <v>"Boite d'allume-feu": {
 "Name" : "Boite d'allume-feu",
 "OV" : "Tinderbox",
 "Category": "VARIOUS",
 "Weight" : 500,
 "Price" : 50
  }</v>
      </c>
    </row>
    <row r="82" spans="1:9">
      <c r="A82" s="80" t="s">
        <v>503</v>
      </c>
      <c r="B82" s="80" t="s">
        <v>504</v>
      </c>
      <c r="C82" s="81" t="s">
        <v>505</v>
      </c>
      <c r="D82" s="90" t="s">
        <v>298</v>
      </c>
      <c r="E82" s="40" t="s">
        <v>705</v>
      </c>
      <c r="F82" s="74">
        <f t="shared" si="3"/>
        <v>1</v>
      </c>
      <c r="G82" s="74" t="str">
        <f t="shared" si="4"/>
        <v>0</v>
      </c>
      <c r="H82" s="88"/>
      <c r="I82" t="str">
        <f t="shared" si="2"/>
        <v>"Bougie": {
 "Name" : "Bougie",
 "OV" : "Candle",
 "Category": "VARIOUS",
 "Weight" : 0,
 "Price" : 1
  }</v>
      </c>
    </row>
    <row r="83" spans="1:9">
      <c r="A83" s="78" t="s">
        <v>506</v>
      </c>
      <c r="B83" s="78" t="s">
        <v>507</v>
      </c>
      <c r="C83" s="79" t="s">
        <v>29</v>
      </c>
      <c r="D83" s="79" t="s">
        <v>33</v>
      </c>
      <c r="E83" s="40" t="s">
        <v>705</v>
      </c>
      <c r="F83" s="74">
        <f t="shared" si="3"/>
        <v>200</v>
      </c>
      <c r="G83" s="74">
        <f t="shared" si="4"/>
        <v>1000</v>
      </c>
      <c r="H83" s="88"/>
      <c r="I83" t="str">
        <f t="shared" si="2"/>
        <v>"Boulier": {
 "Name" : "Boulier",
 "OV" : "Abacus",
 "Category": "VARIOUS",
 "Weight" : 1000,
 "Price" : 200
  }</v>
      </c>
    </row>
    <row r="84" spans="1:9">
      <c r="A84" s="80" t="s">
        <v>508</v>
      </c>
      <c r="B84" s="80" t="s">
        <v>509</v>
      </c>
      <c r="C84" s="81" t="s">
        <v>29</v>
      </c>
      <c r="D84" s="81" t="s">
        <v>33</v>
      </c>
      <c r="E84" s="40" t="s">
        <v>705</v>
      </c>
      <c r="F84" s="74">
        <f t="shared" si="3"/>
        <v>200</v>
      </c>
      <c r="G84" s="74">
        <f t="shared" si="4"/>
        <v>1000</v>
      </c>
      <c r="H84" s="88"/>
      <c r="I84" t="str">
        <f t="shared" si="2"/>
        <v>"Bouteille en verre": {
 "Name" : "Bouteille en verre",
 "OV" : "Bottle, glass",
 "Category": "VARIOUS",
 "Weight" : 1000,
 "Price" : 200
  }</v>
      </c>
    </row>
    <row r="85" spans="1:9">
      <c r="A85" s="78" t="s">
        <v>510</v>
      </c>
      <c r="B85" s="78" t="s">
        <v>511</v>
      </c>
      <c r="C85" s="79" t="s">
        <v>84</v>
      </c>
      <c r="D85" s="79" t="s">
        <v>28</v>
      </c>
      <c r="E85" s="40" t="s">
        <v>705</v>
      </c>
      <c r="F85" s="74">
        <f t="shared" si="3"/>
        <v>1000</v>
      </c>
      <c r="G85" s="74" t="str">
        <f t="shared" si="4"/>
        <v>500</v>
      </c>
      <c r="H85" s="88"/>
      <c r="I85" t="str">
        <f t="shared" si="2"/>
        <v>"Cadenas": {
 "Name" : "Cadenas",
 "OV" : "Lock",
 "Category": "VARIOUS",
 "Weight" : 500,
 "Price" : 1000
  }</v>
      </c>
    </row>
    <row r="86" spans="1:9">
      <c r="A86" s="80" t="s">
        <v>512</v>
      </c>
      <c r="B86" s="80" t="s">
        <v>513</v>
      </c>
      <c r="C86" s="81" t="s">
        <v>46</v>
      </c>
      <c r="D86" s="81" t="s">
        <v>28</v>
      </c>
      <c r="E86" s="40" t="s">
        <v>705</v>
      </c>
      <c r="F86" s="74">
        <f t="shared" si="3"/>
        <v>100</v>
      </c>
      <c r="G86" s="74" t="str">
        <f t="shared" si="4"/>
        <v>500</v>
      </c>
      <c r="H86" s="88"/>
      <c r="I86" t="str">
        <f t="shared" si="2"/>
        <v>"Carquois": {
 "Name" : "Carquois",
 "OV" : "Quiver",
 "Category": "VARIOUS",
 "Weight" : 500,
 "Price" : 100
  }</v>
      </c>
    </row>
    <row r="87" spans="1:9">
      <c r="A87" s="78" t="s">
        <v>514</v>
      </c>
      <c r="B87" s="78" t="s">
        <v>515</v>
      </c>
      <c r="C87" s="79" t="s">
        <v>38</v>
      </c>
      <c r="D87" s="79" t="s">
        <v>53</v>
      </c>
      <c r="E87" s="40" t="s">
        <v>705</v>
      </c>
      <c r="F87" s="74">
        <f t="shared" si="3"/>
        <v>500</v>
      </c>
      <c r="G87" s="74">
        <f t="shared" si="4"/>
        <v>5000</v>
      </c>
      <c r="H87" s="88"/>
      <c r="I87" t="str">
        <f t="shared" si="2"/>
        <v>"Chaîne (3 m)": {
 "Name" : "Chaîne (3 m)",
 "OV" : "Chain",
 "Category": "VARIOUS",
 "Weight" : 5000,
 "Price" : 500
  }</v>
      </c>
    </row>
    <row r="88" spans="1:9">
      <c r="A88" s="80" t="s">
        <v>516</v>
      </c>
      <c r="B88" s="80" t="s">
        <v>517</v>
      </c>
      <c r="C88" s="81" t="s">
        <v>38</v>
      </c>
      <c r="D88" s="90" t="s">
        <v>298</v>
      </c>
      <c r="E88" s="40" t="s">
        <v>705</v>
      </c>
      <c r="F88" s="74">
        <f t="shared" si="3"/>
        <v>500</v>
      </c>
      <c r="G88" s="74" t="str">
        <f t="shared" si="4"/>
        <v>0</v>
      </c>
      <c r="H88" s="88"/>
      <c r="I88" t="str">
        <f t="shared" si="2"/>
        <v>"Chevalière": {
 "Name" : "Chevalière",
 "OV" : "Signet ring",
 "Category": "VARIOUS",
 "Weight" : 0,
 "Price" : 500
  }</v>
      </c>
    </row>
    <row r="89" spans="1:9">
      <c r="A89" s="78" t="s">
        <v>518</v>
      </c>
      <c r="B89" s="78" t="s">
        <v>519</v>
      </c>
      <c r="C89" s="79" t="s">
        <v>46</v>
      </c>
      <c r="D89" s="79" t="s">
        <v>33</v>
      </c>
      <c r="E89" s="40" t="s">
        <v>705</v>
      </c>
      <c r="F89" s="74">
        <f t="shared" si="3"/>
        <v>100</v>
      </c>
      <c r="G89" s="74">
        <f t="shared" si="4"/>
        <v>1000</v>
      </c>
      <c r="H89" s="88"/>
      <c r="I89" t="str">
        <f t="shared" si="2"/>
        <v>"Chausse-trappes (sac de 20)": {
 "Name" : "Chausse-trappes (sac de 20)",
 "OV" : "Caltrops",
 "Category": "VARIOUS",
 "Weight" : 1000,
 "Price" : 100
  }</v>
      </c>
    </row>
    <row r="90" spans="1:9">
      <c r="A90" s="80" t="s">
        <v>520</v>
      </c>
      <c r="B90" s="80" t="s">
        <v>521</v>
      </c>
      <c r="C90" s="81" t="s">
        <v>42</v>
      </c>
      <c r="D90" s="90" t="s">
        <v>298</v>
      </c>
      <c r="E90" s="40" t="s">
        <v>705</v>
      </c>
      <c r="F90" s="74">
        <f t="shared" si="3"/>
        <v>50</v>
      </c>
      <c r="G90" s="74" t="str">
        <f t="shared" si="4"/>
        <v>0</v>
      </c>
      <c r="H90" s="88"/>
      <c r="I90" t="str">
        <f t="shared" si="2"/>
        <v>"Cire à cacheter": {
 "Name" : "Cire à cacheter",
 "OV" : "Sealing wax",
 "Category": "VARIOUS",
 "Weight" : 0,
 "Price" : 50
  }</v>
      </c>
    </row>
    <row r="91" spans="1:9">
      <c r="A91" s="78" t="s">
        <v>522</v>
      </c>
      <c r="B91" s="78" t="s">
        <v>523</v>
      </c>
      <c r="C91" s="79" t="s">
        <v>46</v>
      </c>
      <c r="D91" s="91" t="s">
        <v>298</v>
      </c>
      <c r="E91" s="40" t="s">
        <v>705</v>
      </c>
      <c r="F91" s="74">
        <f t="shared" si="3"/>
        <v>100</v>
      </c>
      <c r="G91" s="74" t="str">
        <f t="shared" si="4"/>
        <v>0</v>
      </c>
      <c r="H91" s="88"/>
      <c r="I91" t="str">
        <f t="shared" si="2"/>
        <v>"Cloche": {
 "Name" : "Cloche",
 "OV" : "Bell",
 "Category": "VARIOUS",
 "Weight" : 0,
 "Price" : 100
  }</v>
      </c>
    </row>
    <row r="92" spans="1:9">
      <c r="A92" s="80" t="s">
        <v>524</v>
      </c>
      <c r="B92" s="80" t="s">
        <v>525</v>
      </c>
      <c r="C92" s="81" t="s">
        <v>38</v>
      </c>
      <c r="D92" s="81" t="s">
        <v>526</v>
      </c>
      <c r="E92" s="40" t="s">
        <v>705</v>
      </c>
      <c r="F92" s="74">
        <f t="shared" si="3"/>
        <v>500</v>
      </c>
      <c r="G92" s="74">
        <f t="shared" si="4"/>
        <v>12500</v>
      </c>
      <c r="H92" s="88"/>
      <c r="I92" t="str">
        <f t="shared" si="2"/>
        <v>"Coffre": {
 "Name" : "Coffre",
 "OV" : "Chest",
 "Category": "VARIOUS",
 "Weight" : 12500,
 "Price" : 500
  }</v>
      </c>
    </row>
    <row r="93" spans="1:9">
      <c r="A93" s="78" t="s">
        <v>527</v>
      </c>
      <c r="B93" s="78" t="s">
        <v>528</v>
      </c>
      <c r="C93" s="79" t="s">
        <v>46</v>
      </c>
      <c r="D93" s="79" t="s">
        <v>53</v>
      </c>
      <c r="E93" s="40" t="s">
        <v>705</v>
      </c>
      <c r="F93" s="74">
        <f t="shared" si="3"/>
        <v>100</v>
      </c>
      <c r="G93" s="74">
        <f t="shared" si="4"/>
        <v>5000</v>
      </c>
      <c r="H93" s="88"/>
      <c r="I93" t="str">
        <f t="shared" ref="I93:I106" si="5">""""&amp;A93&amp;""": {
 ""Name"" : """&amp;A93&amp;""",
 ""OV"" : """&amp;B93&amp;""",
 ""Category"": """&amp;E93&amp;""",
 ""Weight"" : "&amp;G93&amp;",
 ""Price"" : "&amp;F93&amp;"
  }"</f>
        <v>"Corde en chanvre (15 m)": {
 "Name" : "Corde en chanvre (15 m)",
 "OV" : "Rope, hempen",
 "Category": "VARIOUS",
 "Weight" : 5000,
 "Price" : 100
  }</v>
      </c>
    </row>
    <row r="94" spans="1:9">
      <c r="A94" s="80" t="s">
        <v>529</v>
      </c>
      <c r="B94" s="80" t="s">
        <v>530</v>
      </c>
      <c r="C94" s="81" t="s">
        <v>84</v>
      </c>
      <c r="D94" s="81" t="s">
        <v>60</v>
      </c>
      <c r="E94" s="40" t="s">
        <v>705</v>
      </c>
      <c r="F94" s="74">
        <f t="shared" si="3"/>
        <v>1000</v>
      </c>
      <c r="G94" s="74">
        <f t="shared" si="4"/>
        <v>2500</v>
      </c>
      <c r="H94" s="88"/>
      <c r="I94" t="str">
        <f t="shared" si="5"/>
        <v>"Corde en soie (15 m)": {
 "Name" : "Corde en soie (15 m)",
 "OV" : "Rope, silk",
 "Category": "VARIOUS",
 "Weight" : 2500,
 "Price" : 1000
  }</v>
      </c>
    </row>
    <row r="95" spans="1:9">
      <c r="A95" s="78" t="s">
        <v>531</v>
      </c>
      <c r="B95" s="78" t="s">
        <v>532</v>
      </c>
      <c r="C95" s="79" t="s">
        <v>42</v>
      </c>
      <c r="D95" s="79" t="s">
        <v>45</v>
      </c>
      <c r="E95" s="40" t="s">
        <v>705</v>
      </c>
      <c r="F95" s="74">
        <f t="shared" si="3"/>
        <v>50</v>
      </c>
      <c r="G95" s="74">
        <f t="shared" si="4"/>
        <v>1500</v>
      </c>
      <c r="H95" s="88"/>
      <c r="I95" t="str">
        <f t="shared" si="5"/>
        <v>"Couverture": {
 "Name" : "Couverture",
 "OV" : "Blanket",
 "Category": "VARIOUS",
 "Weight" : 1500,
 "Price" : 50
  }</v>
      </c>
    </row>
    <row r="96" spans="1:9">
      <c r="A96" s="80" t="s">
        <v>533</v>
      </c>
      <c r="B96" s="80" t="s">
        <v>534</v>
      </c>
      <c r="C96" s="81" t="s">
        <v>505</v>
      </c>
      <c r="D96" s="90" t="s">
        <v>298</v>
      </c>
      <c r="E96" s="40" t="s">
        <v>705</v>
      </c>
      <c r="F96" s="74">
        <f t="shared" si="3"/>
        <v>1</v>
      </c>
      <c r="G96" s="74" t="str">
        <f t="shared" si="4"/>
        <v>0</v>
      </c>
      <c r="H96" s="88"/>
      <c r="I96" t="str">
        <f t="shared" si="5"/>
        <v>"Craie (un morceau)": {
 "Name" : "Craie (un morceau)",
 "OV" : "Chalk",
 "Category": "VARIOUS",
 "Weight" : 0,
 "Price" : 1
  }</v>
      </c>
    </row>
    <row r="97" spans="1:9">
      <c r="A97" s="78" t="s">
        <v>535</v>
      </c>
      <c r="B97" s="78" t="s">
        <v>536</v>
      </c>
      <c r="C97" s="79" t="s">
        <v>537</v>
      </c>
      <c r="D97" s="79" t="s">
        <v>23</v>
      </c>
      <c r="E97" s="40" t="s">
        <v>705</v>
      </c>
      <c r="F97" s="74">
        <f t="shared" si="3"/>
        <v>2</v>
      </c>
      <c r="G97" s="74">
        <f t="shared" si="4"/>
        <v>2000</v>
      </c>
      <c r="H97" s="88"/>
      <c r="I97" t="str">
        <f t="shared" si="5"/>
        <v>"Cruche ou pichet": {
 "Name" : "Cruche ou pichet",
 "OV" : "Jug or pitcher",
 "Category": "VARIOUS",
 "Weight" : 2000,
 "Price" : 2
  }</v>
      </c>
    </row>
    <row r="98" spans="1:9">
      <c r="A98" s="80" t="s">
        <v>538</v>
      </c>
      <c r="B98" s="80" t="s">
        <v>539</v>
      </c>
      <c r="C98" s="81" t="s">
        <v>61</v>
      </c>
      <c r="D98" s="81" t="s">
        <v>28</v>
      </c>
      <c r="E98" s="40" t="s">
        <v>705</v>
      </c>
      <c r="F98" s="74">
        <f t="shared" si="3"/>
        <v>2500</v>
      </c>
      <c r="G98" s="74" t="str">
        <f t="shared" si="4"/>
        <v>500</v>
      </c>
      <c r="H98" s="88"/>
      <c r="I98" t="str">
        <f t="shared" si="5"/>
        <v>"Eau bénite (flasque)": {
 "Name" : "Eau bénite (flasque)",
 "OV" : "Holy Water",
 "Category": "VARIOUS",
 "Weight" : 500,
 "Price" : 2500
  }</v>
      </c>
    </row>
    <row r="99" spans="1:9">
      <c r="A99" s="78" t="s">
        <v>540</v>
      </c>
      <c r="B99" s="78" t="s">
        <v>541</v>
      </c>
      <c r="C99" s="79" t="s">
        <v>34</v>
      </c>
      <c r="D99" s="79" t="s">
        <v>526</v>
      </c>
      <c r="E99" s="40" t="s">
        <v>705</v>
      </c>
      <c r="F99" s="74">
        <f t="shared" si="3"/>
        <v>10</v>
      </c>
      <c r="G99" s="74">
        <f t="shared" si="4"/>
        <v>12500</v>
      </c>
      <c r="H99" s="88"/>
      <c r="I99" t="str">
        <f t="shared" si="5"/>
        <v>"Échelle (3 m)": {
 "Name" : "Échelle (3 m)",
 "OV" : "Ladder",
 "Category": "VARIOUS",
 "Weight" : 12500,
 "Price" : 10
  }</v>
      </c>
    </row>
    <row r="100" spans="1:9">
      <c r="A100" s="80" t="s">
        <v>542</v>
      </c>
      <c r="B100" s="80" t="s">
        <v>543</v>
      </c>
      <c r="C100" s="81" t="s">
        <v>84</v>
      </c>
      <c r="D100" s="90" t="s">
        <v>298</v>
      </c>
      <c r="E100" s="40" t="s">
        <v>705</v>
      </c>
      <c r="F100" s="74">
        <f t="shared" si="3"/>
        <v>1000</v>
      </c>
      <c r="G100" s="74" t="str">
        <f t="shared" si="4"/>
        <v>0</v>
      </c>
      <c r="H100" s="88"/>
      <c r="I100" t="str">
        <f t="shared" si="5"/>
        <v>"Encre (bouteille de 30 ml)": {
 "Name" : "Encre (bouteille de 30 ml)",
 "OV" : "Ink",
 "Category": "VARIOUS",
 "Weight" : 0,
 "Price" : 1000
  }</v>
      </c>
    </row>
    <row r="101" spans="1:9">
      <c r="A101" s="78" t="s">
        <v>544</v>
      </c>
      <c r="B101" s="78" t="s">
        <v>545</v>
      </c>
      <c r="C101" s="79" t="s">
        <v>61</v>
      </c>
      <c r="D101" s="79" t="s">
        <v>358</v>
      </c>
      <c r="E101" s="40" t="s">
        <v>705</v>
      </c>
      <c r="F101" s="74">
        <f t="shared" si="3"/>
        <v>2500</v>
      </c>
      <c r="G101" s="74">
        <f t="shared" si="4"/>
        <v>6000</v>
      </c>
      <c r="H101" s="88"/>
      <c r="I101" t="str">
        <f t="shared" si="5"/>
        <v>"Équipement d’escalade": {
 "Name" : "Équipement d’escalade",
 "OV" : "Climber’s Kit",
 "Category": "VARIOUS",
 "Weight" : 6000,
 "Price" : 2500
  }</v>
      </c>
    </row>
    <row r="102" spans="1:9">
      <c r="A102" s="80" t="s">
        <v>546</v>
      </c>
      <c r="B102" s="80" t="s">
        <v>547</v>
      </c>
      <c r="C102" s="81" t="s">
        <v>46</v>
      </c>
      <c r="D102" s="81" t="s">
        <v>28</v>
      </c>
      <c r="E102" s="40" t="s">
        <v>705</v>
      </c>
      <c r="F102" s="74">
        <f t="shared" si="3"/>
        <v>100</v>
      </c>
      <c r="G102" s="74" t="str">
        <f t="shared" si="4"/>
        <v>500</v>
      </c>
      <c r="H102" s="88"/>
      <c r="I102" t="str">
        <f t="shared" si="5"/>
        <v>"Étui à carreaux": {
 "Name" : "Étui à carreaux",
 "OV" : "Case, Crossbow Bolt",
 "Category": "VARIOUS",
 "Weight" : 500,
 "Price" : 100
  }</v>
      </c>
    </row>
    <row r="103" spans="1:9">
      <c r="A103" s="78" t="s">
        <v>548</v>
      </c>
      <c r="B103" s="78" t="s">
        <v>549</v>
      </c>
      <c r="C103" s="79" t="s">
        <v>46</v>
      </c>
      <c r="D103" s="79" t="s">
        <v>28</v>
      </c>
      <c r="E103" s="40" t="s">
        <v>705</v>
      </c>
      <c r="F103" s="74">
        <f t="shared" si="3"/>
        <v>100</v>
      </c>
      <c r="G103" s="74" t="str">
        <f t="shared" si="4"/>
        <v>500</v>
      </c>
      <c r="H103" s="88"/>
      <c r="I103" t="str">
        <f t="shared" si="5"/>
        <v>"Étui à cartes ou parchemins": {
 "Name" : "Étui à cartes ou parchemins",
 "OV" : "Case, Map or Scroll",
 "Category": "VARIOUS",
 "Weight" : 500,
 "Price" : 100
  }</v>
      </c>
    </row>
    <row r="104" spans="1:9">
      <c r="A104" s="80" t="s">
        <v>550</v>
      </c>
      <c r="B104" s="80" t="s">
        <v>551</v>
      </c>
      <c r="C104" s="81" t="s">
        <v>81</v>
      </c>
      <c r="D104" s="81" t="s">
        <v>28</v>
      </c>
      <c r="E104" s="40" t="s">
        <v>705</v>
      </c>
      <c r="F104" s="74">
        <f t="shared" si="3"/>
        <v>5000</v>
      </c>
      <c r="G104" s="74" t="str">
        <f t="shared" si="4"/>
        <v>500</v>
      </c>
      <c r="H104" s="88"/>
      <c r="I104" t="str">
        <f t="shared" si="5"/>
        <v>"Feu grégeois (flasque)": {
 "Name" : "Feu grégeois (flasque)",
 "OV" : "Alchemist’s Fire",
 "Category": "VARIOUS",
 "Weight" : 500,
 "Price" : 5000
  }</v>
      </c>
    </row>
    <row r="105" spans="1:9">
      <c r="A105" s="78" t="s">
        <v>552</v>
      </c>
      <c r="B105" s="78" t="s">
        <v>553</v>
      </c>
      <c r="C105" s="79" t="s">
        <v>46</v>
      </c>
      <c r="D105" s="91" t="s">
        <v>298</v>
      </c>
      <c r="E105" s="40" t="s">
        <v>705</v>
      </c>
      <c r="F105" s="74">
        <f t="shared" si="3"/>
        <v>100</v>
      </c>
      <c r="G105" s="74" t="str">
        <f t="shared" si="4"/>
        <v>0</v>
      </c>
      <c r="H105" s="88"/>
      <c r="I105" t="str">
        <f t="shared" si="5"/>
        <v>"Fiole (10 cl)": {
 "Name" : "Fiole (10 cl)",
 "OV" : "Vial",
 "Category": "VARIOUS",
 "Weight" : 0,
 "Price" : 100
  }</v>
      </c>
    </row>
    <row r="106" spans="1:9">
      <c r="A106" s="80" t="s">
        <v>554</v>
      </c>
      <c r="B106" s="80" t="s">
        <v>555</v>
      </c>
      <c r="C106" s="81" t="s">
        <v>537</v>
      </c>
      <c r="D106" s="81" t="s">
        <v>28</v>
      </c>
      <c r="E106" s="40" t="s">
        <v>705</v>
      </c>
      <c r="F106" s="74">
        <f t="shared" si="3"/>
        <v>2</v>
      </c>
      <c r="G106" s="74" t="str">
        <f t="shared" si="4"/>
        <v>500</v>
      </c>
      <c r="H106" s="88"/>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470"/>
  <sheetViews>
    <sheetView workbookViewId="0">
      <pane xSplit="4" ySplit="1" topLeftCell="I460" activePane="bottomRight" state="frozenSplit"/>
      <selection pane="topRight" activeCell="E1" sqref="E1"/>
      <selection pane="bottomLeft" activeCell="A12" sqref="A12"/>
      <selection pane="bottomRight" activeCell="L468" sqref="L468"/>
    </sheetView>
  </sheetViews>
  <sheetFormatPr baseColWidth="10" defaultRowHeight="15"/>
  <cols>
    <col min="2" max="2" width="30.85546875" customWidth="1"/>
    <col min="3" max="3" width="30.28515625" hidden="1" customWidth="1"/>
    <col min="4" max="4" width="19" hidden="1" customWidth="1"/>
    <col min="5" max="5" width="16.42578125" customWidth="1"/>
    <col min="6" max="6" width="16.85546875" customWidth="1"/>
    <col min="7" max="7" width="17.140625" customWidth="1"/>
    <col min="8" max="8" width="8.85546875" customWidth="1"/>
    <col min="9" max="9" width="68.85546875" customWidth="1"/>
    <col min="10" max="10" width="26.7109375" customWidth="1"/>
    <col min="11" max="11" width="26.7109375" style="216" customWidth="1"/>
    <col min="12" max="12" width="8.140625" customWidth="1"/>
  </cols>
  <sheetData>
    <row r="1" spans="1:13">
      <c r="A1" s="154" t="s">
        <v>1070</v>
      </c>
      <c r="B1" s="154" t="s">
        <v>1068</v>
      </c>
      <c r="C1" s="154" t="s">
        <v>1069</v>
      </c>
      <c r="D1" s="154" t="s">
        <v>15</v>
      </c>
      <c r="E1" s="154" t="s">
        <v>1071</v>
      </c>
      <c r="F1" s="154" t="s">
        <v>1072</v>
      </c>
      <c r="G1" s="154" t="s">
        <v>1073</v>
      </c>
      <c r="H1" s="154" t="s">
        <v>1074</v>
      </c>
      <c r="I1" s="154" t="s">
        <v>1075</v>
      </c>
      <c r="J1" s="154" t="s">
        <v>1076</v>
      </c>
      <c r="K1" s="215" t="s">
        <v>13</v>
      </c>
      <c r="M1" s="153"/>
    </row>
    <row r="2" spans="1:13">
      <c r="A2">
        <v>0</v>
      </c>
      <c r="B2" t="s">
        <v>1107</v>
      </c>
      <c r="D2" t="s">
        <v>1108</v>
      </c>
      <c r="E2" t="s">
        <v>2882</v>
      </c>
      <c r="F2" t="s">
        <v>1086</v>
      </c>
      <c r="G2" t="s">
        <v>1073</v>
      </c>
      <c r="I2" t="s">
        <v>1110</v>
      </c>
      <c r="J2" t="s">
        <v>1111</v>
      </c>
      <c r="K2" s="216" t="s">
        <v>3913</v>
      </c>
      <c r="M2" t="str">
        <f>""""&amp;B2&amp;""": {
  ""Name"" : """&amp;B2&amp;""",
  ""OV"" : """&amp;D2&amp;""",
  ""Level"" : "&amp;A2&amp;",
  ""BBE"" : """&amp;C2&amp;""",
  ""School"" : """&amp;PROPER(E2)&amp;""",
  ""Incantation"" : """&amp;F2&amp;""",
  ""Type"" : """&amp;TRIM(G2&amp;" "&amp;H2)&amp;""",
  ""Description"" : """&amp;I2&amp;""",
  ""Classes"" :["&amp;K2&amp;"]
   }"</f>
        <v>"Amis":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v>
      </c>
    </row>
    <row r="3" spans="1:13">
      <c r="A3">
        <v>0</v>
      </c>
      <c r="B3" t="s">
        <v>1170</v>
      </c>
      <c r="C3" t="s">
        <v>1171</v>
      </c>
      <c r="D3" t="s">
        <v>1172</v>
      </c>
      <c r="E3" t="s">
        <v>2885</v>
      </c>
      <c r="F3" t="s">
        <v>1086</v>
      </c>
      <c r="I3" t="s">
        <v>1173</v>
      </c>
      <c r="J3" t="s">
        <v>1088</v>
      </c>
      <c r="K3" s="216" t="s">
        <v>5967</v>
      </c>
      <c r="M3" t="str">
        <f t="shared" ref="M3:M66" si="0">""""&amp;B3&amp;""": {
  ""Name"" : """&amp;B3&amp;""",
  ""OV"" : """&amp;D3&amp;""",
  ""Level"" : "&amp;A3&amp;",
  ""BBE"" : """&amp;C3&amp;""",
  ""School"" : """&amp;PROPER(E3)&amp;""",
  ""Incantation"" : """&amp;F3&amp;""",
  ""Type"" : """&amp;TRIM(G3&amp;" "&amp;H3)&amp;""",
  ""Description"" : """&amp;I3&amp;""",
  ""Classes"" :["&amp;K3&amp;"]
   }"</f>
        <v>"Aspersion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v>
      </c>
    </row>
    <row r="4" spans="1:13">
      <c r="A4">
        <v>0</v>
      </c>
      <c r="B4" t="s">
        <v>1177</v>
      </c>
      <c r="D4" t="s">
        <v>1178</v>
      </c>
      <c r="E4" t="s">
        <v>1179</v>
      </c>
      <c r="F4" t="s">
        <v>1086</v>
      </c>
      <c r="G4" t="s">
        <v>1073</v>
      </c>
      <c r="I4" t="s">
        <v>1180</v>
      </c>
      <c r="J4" t="s">
        <v>1088</v>
      </c>
      <c r="K4" s="216" t="s">
        <v>5968</v>
      </c>
      <c r="M4" t="str">
        <f t="shared" si="0"/>
        <v>"Assistance": {
  "Name" : "Assistance",
  "OV" : "Guidance",
  "Level" : 0,
  "BBE" : "",
  "School" : "Divination",
  "Incantation" : "1 action",
  "Type" : "Concentration",
  "Description" : "La cible peut ajouter 1d4 à un jet de caractéristique de son choix.",
  "Classes" :["ARTIFICER", "CLERK", "DRUID"]
   }</v>
      </c>
    </row>
    <row r="5" spans="1:13">
      <c r="A5">
        <v>0</v>
      </c>
      <c r="B5" t="s">
        <v>1377</v>
      </c>
      <c r="D5" t="s">
        <v>1378</v>
      </c>
      <c r="E5" t="s">
        <v>1121</v>
      </c>
      <c r="F5" t="s">
        <v>1086</v>
      </c>
      <c r="I5" t="s">
        <v>1379</v>
      </c>
      <c r="J5" t="s">
        <v>1088</v>
      </c>
      <c r="K5" s="216" t="s">
        <v>3915</v>
      </c>
      <c r="M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v>
      </c>
    </row>
    <row r="6" spans="1:13">
      <c r="A6">
        <v>0</v>
      </c>
      <c r="B6" t="s">
        <v>1395</v>
      </c>
      <c r="D6" t="s">
        <v>1396</v>
      </c>
      <c r="E6" t="s">
        <v>1085</v>
      </c>
      <c r="F6" t="s">
        <v>1086</v>
      </c>
      <c r="I6" t="s">
        <v>1397</v>
      </c>
      <c r="J6" t="s">
        <v>1082</v>
      </c>
      <c r="K6" s="216" t="s">
        <v>3916</v>
      </c>
      <c r="M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v>
      </c>
    </row>
    <row r="7" spans="1:13">
      <c r="A7">
        <v>0</v>
      </c>
      <c r="B7" t="s">
        <v>1419</v>
      </c>
      <c r="C7" t="s">
        <v>1420</v>
      </c>
      <c r="D7" t="s">
        <v>1421</v>
      </c>
      <c r="E7" t="s">
        <v>1179</v>
      </c>
      <c r="F7" t="s">
        <v>1086</v>
      </c>
      <c r="G7" t="s">
        <v>1073</v>
      </c>
      <c r="I7" t="s">
        <v>1422</v>
      </c>
      <c r="J7" t="s">
        <v>1088</v>
      </c>
      <c r="K7" s="216" t="s">
        <v>3913</v>
      </c>
      <c r="M7" t="str">
        <f t="shared" si="0"/>
        <v>"Coup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v>
      </c>
    </row>
    <row r="8" spans="1:13">
      <c r="A8">
        <v>0</v>
      </c>
      <c r="B8" t="s">
        <v>1423</v>
      </c>
      <c r="D8" t="s">
        <v>1424</v>
      </c>
      <c r="E8" t="s">
        <v>1155</v>
      </c>
      <c r="F8" t="s">
        <v>1086</v>
      </c>
      <c r="I8" t="s">
        <v>1425</v>
      </c>
      <c r="J8" t="s">
        <v>1082</v>
      </c>
      <c r="K8" s="216" t="s">
        <v>5969</v>
      </c>
      <c r="M8" t="str">
        <f t="shared" si="0"/>
        <v>"Coup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v>
      </c>
    </row>
    <row r="9" spans="1:13">
      <c r="A9">
        <v>0</v>
      </c>
      <c r="B9" t="s">
        <v>1465</v>
      </c>
      <c r="C9" t="s">
        <v>1466</v>
      </c>
      <c r="D9" t="s">
        <v>1467</v>
      </c>
      <c r="E9" t="s">
        <v>1155</v>
      </c>
      <c r="F9" t="s">
        <v>1086</v>
      </c>
      <c r="I9" t="s">
        <v>1468</v>
      </c>
      <c r="J9" t="s">
        <v>1088</v>
      </c>
      <c r="K9" s="216" t="s">
        <v>2945</v>
      </c>
      <c r="M9" t="str">
        <f t="shared" si="0"/>
        <v>"Décharge occulte": {
  "Name" : "Décharge occulte",
  "OV" : "Eldritch Blast",
  "Level" : 0,
  "BBE" : "Explosion occulte",
  "School" : "Évocation",
  "Incantation" : "1 action",
  "Type" : "",
  "Description" : "Si l'attaque avec un sort touche, inflige 1d10 dégâts de force (nbre de rayons/niv).",
  "Classes" :["WIZARD"]
   }</v>
      </c>
    </row>
    <row r="10" spans="1:13">
      <c r="A10">
        <v>0</v>
      </c>
      <c r="B10" t="s">
        <v>1537</v>
      </c>
      <c r="D10" t="s">
        <v>1538</v>
      </c>
      <c r="E10" t="s">
        <v>1085</v>
      </c>
      <c r="F10" t="s">
        <v>1086</v>
      </c>
      <c r="I10" t="s">
        <v>1539</v>
      </c>
      <c r="J10" t="s">
        <v>1088</v>
      </c>
      <c r="K10" s="216" t="s">
        <v>2926</v>
      </c>
      <c r="M10" t="str">
        <f t="shared" si="0"/>
        <v>"Druidisme": {
  "Name" : "Druidisme",
  "OV" : "Druidcraft",
  "Level" : 0,
  "BBE" : "",
  "School" : "Transmutation",
  "Incantation" : "1 action",
  "Type" : "",
  "Description" : "Permet d'obtenir divers effets mineurs en rapport avec la nature (prévision météo, floraison, effet sensoriel, etc).",
  "Classes" :["DRUID"]
   }</v>
      </c>
    </row>
    <row r="11" spans="1:13">
      <c r="A11">
        <v>0</v>
      </c>
      <c r="B11" t="s">
        <v>1563</v>
      </c>
      <c r="D11" t="s">
        <v>1564</v>
      </c>
      <c r="E11" t="s">
        <v>1098</v>
      </c>
      <c r="F11" t="s">
        <v>1086</v>
      </c>
      <c r="G11" t="s">
        <v>1073</v>
      </c>
      <c r="I11" t="s">
        <v>1565</v>
      </c>
      <c r="J11" t="s">
        <v>1082</v>
      </c>
      <c r="K11" s="216" t="s">
        <v>5970</v>
      </c>
      <c r="M11" t="str">
        <f t="shared" si="0"/>
        <v>"Embrasement":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v>
      </c>
    </row>
    <row r="12" spans="1:13">
      <c r="A12">
        <v>0</v>
      </c>
      <c r="B12" t="s">
        <v>1609</v>
      </c>
      <c r="D12" t="s">
        <v>1610</v>
      </c>
      <c r="E12" t="s">
        <v>1098</v>
      </c>
      <c r="F12" t="s">
        <v>1086</v>
      </c>
      <c r="I12" t="s">
        <v>1611</v>
      </c>
      <c r="J12" t="s">
        <v>1612</v>
      </c>
      <c r="K12" s="216" t="s">
        <v>3915</v>
      </c>
      <c r="M12" t="str">
        <f t="shared" si="0"/>
        <v>"Explosion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v>
      </c>
    </row>
    <row r="13" spans="1:13">
      <c r="A13">
        <v>0</v>
      </c>
      <c r="B13" t="s">
        <v>1623</v>
      </c>
      <c r="C13" t="s">
        <v>1624</v>
      </c>
      <c r="D13" t="s">
        <v>1625</v>
      </c>
      <c r="E13" t="s">
        <v>1085</v>
      </c>
      <c r="F13" t="s">
        <v>1086</v>
      </c>
      <c r="I13" t="s">
        <v>1626</v>
      </c>
      <c r="J13" t="s">
        <v>1082</v>
      </c>
      <c r="K13" s="216" t="s">
        <v>3916</v>
      </c>
      <c r="M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v>
      </c>
    </row>
    <row r="14" spans="1:13">
      <c r="A14">
        <v>0</v>
      </c>
      <c r="B14" t="s">
        <v>1616</v>
      </c>
      <c r="C14" t="s">
        <v>1617</v>
      </c>
      <c r="D14" t="s">
        <v>1618</v>
      </c>
      <c r="E14" t="s">
        <v>1085</v>
      </c>
      <c r="F14" t="s">
        <v>1086</v>
      </c>
      <c r="I14" t="s">
        <v>1619</v>
      </c>
      <c r="J14" t="s">
        <v>1082</v>
      </c>
      <c r="K14" s="216" t="s">
        <v>3916</v>
      </c>
      <c r="M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v>
      </c>
    </row>
    <row r="15" spans="1:13">
      <c r="A15">
        <v>0</v>
      </c>
      <c r="B15" t="s">
        <v>1647</v>
      </c>
      <c r="D15" t="s">
        <v>1648</v>
      </c>
      <c r="E15" t="s">
        <v>1155</v>
      </c>
      <c r="F15" t="s">
        <v>1086</v>
      </c>
      <c r="I15" t="s">
        <v>1649</v>
      </c>
      <c r="J15" t="s">
        <v>1088</v>
      </c>
      <c r="K15" s="216" t="s">
        <v>2921</v>
      </c>
      <c r="M15" t="str">
        <f t="shared" si="0"/>
        <v>"Flamme sacrée": {
  "Name" : "Flamme sacrée",
  "OV" : "Sacred Flame",
  "Level" : 0,
  "BBE" : "",
  "School" : "Évocation",
  "Incantation" : "1 action",
  "Type" : "",
  "Description" : "La cible doit réussir un JdS de Dex. ou subir 1d8 dégâts radiant (dégâts/niv).",
  "Classes" :["CLERK"]
   }</v>
      </c>
    </row>
    <row r="16" spans="1:13">
      <c r="A16">
        <v>0</v>
      </c>
      <c r="B16" t="s">
        <v>1696</v>
      </c>
      <c r="D16" t="s">
        <v>1697</v>
      </c>
      <c r="E16" t="s">
        <v>1085</v>
      </c>
      <c r="F16" t="s">
        <v>1086</v>
      </c>
      <c r="I16" t="s">
        <v>1698</v>
      </c>
      <c r="J16" t="s">
        <v>1111</v>
      </c>
      <c r="K16" s="216" t="s">
        <v>5971</v>
      </c>
      <c r="M16" t="str">
        <f t="shared" si="0"/>
        <v>"Fouet épineux": {
  "Name" : "Fouet épineux",
  "OV" : "Thorn Whip",
  "Level" : 0,
  "BBE" : "",
  "School" : "Transmutation",
  "Incantation" : "1 action",
  "Type" : "",
  "Description" : "Si l'attaque touche, inflige 1d6 dégâts perforant et tire la cible (taille G max) sur 3 m (dégâts/niv).",
  "Classes" :["ARTIFICER", "DRUID"]
   }</v>
      </c>
    </row>
    <row r="17" spans="1:13">
      <c r="A17">
        <v>0</v>
      </c>
      <c r="B17" t="s">
        <v>1699</v>
      </c>
      <c r="C17" t="s">
        <v>1700</v>
      </c>
      <c r="D17" t="s">
        <v>1701</v>
      </c>
      <c r="E17" t="s">
        <v>1155</v>
      </c>
      <c r="F17" t="s">
        <v>1086</v>
      </c>
      <c r="I17" t="s">
        <v>1702</v>
      </c>
      <c r="J17" t="s">
        <v>1612</v>
      </c>
      <c r="K17" s="216" t="s">
        <v>3915</v>
      </c>
      <c r="M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v>
      </c>
    </row>
    <row r="18" spans="1:13">
      <c r="A18">
        <v>0</v>
      </c>
      <c r="B18" t="s">
        <v>1732</v>
      </c>
      <c r="D18" t="s">
        <v>1733</v>
      </c>
      <c r="E18" t="s">
        <v>1155</v>
      </c>
      <c r="F18" t="s">
        <v>1086</v>
      </c>
      <c r="I18" t="s">
        <v>1734</v>
      </c>
      <c r="J18" t="s">
        <v>1082</v>
      </c>
      <c r="K18" s="216" t="s">
        <v>5972</v>
      </c>
      <c r="M18" t="str">
        <f t="shared" si="0"/>
        <v>"Gelure":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v>
      </c>
    </row>
    <row r="19" spans="1:13">
      <c r="A19">
        <v>0</v>
      </c>
      <c r="B19" t="s">
        <v>1735</v>
      </c>
      <c r="C19" t="s">
        <v>1736</v>
      </c>
      <c r="D19" t="s">
        <v>1737</v>
      </c>
      <c r="E19" t="s">
        <v>1121</v>
      </c>
      <c r="F19" t="s">
        <v>1086</v>
      </c>
      <c r="I19" t="s">
        <v>1738</v>
      </c>
      <c r="J19" t="s">
        <v>1082</v>
      </c>
      <c r="K19" s="216" t="s">
        <v>3919</v>
      </c>
      <c r="M19" t="str">
        <f t="shared" si="0"/>
        <v>"Glas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v>
      </c>
    </row>
    <row r="20" spans="1:13">
      <c r="A20">
        <v>0</v>
      </c>
      <c r="B20" t="s">
        <v>1745</v>
      </c>
      <c r="D20" t="s">
        <v>1746</v>
      </c>
      <c r="E20" t="s">
        <v>1085</v>
      </c>
      <c r="F20" t="s">
        <v>1151</v>
      </c>
      <c r="I20" t="s">
        <v>1747</v>
      </c>
      <c r="J20" t="s">
        <v>1088</v>
      </c>
      <c r="K20" s="216" t="s">
        <v>2926</v>
      </c>
      <c r="M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"Classes" :["DRUID"]
   }</v>
      </c>
    </row>
    <row r="21" spans="1:13">
      <c r="A21">
        <v>0</v>
      </c>
      <c r="B21" t="s">
        <v>1775</v>
      </c>
      <c r="D21" t="s">
        <v>1776</v>
      </c>
      <c r="E21" t="s">
        <v>1128</v>
      </c>
      <c r="F21" t="s">
        <v>1086</v>
      </c>
      <c r="I21" t="s">
        <v>1777</v>
      </c>
      <c r="J21" t="s">
        <v>1088</v>
      </c>
      <c r="K21" s="216" t="s">
        <v>3913</v>
      </c>
      <c r="M21" t="str">
        <f t="shared" si="0"/>
        <v>"Illusion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v>
      </c>
    </row>
    <row r="22" spans="1:13">
      <c r="A22">
        <v>0</v>
      </c>
      <c r="B22" t="s">
        <v>1799</v>
      </c>
      <c r="D22" t="s">
        <v>1799</v>
      </c>
      <c r="E22" t="s">
        <v>1098</v>
      </c>
      <c r="F22" t="s">
        <v>1086</v>
      </c>
      <c r="I22" t="s">
        <v>1800</v>
      </c>
      <c r="J22" t="s">
        <v>1082</v>
      </c>
      <c r="K22" s="216" t="s">
        <v>3918</v>
      </c>
      <c r="M22" t="str">
        <f t="shared" si="0"/>
        <v>"Infestation":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v>
      </c>
    </row>
    <row r="23" spans="1:13">
      <c r="A23">
        <v>0</v>
      </c>
      <c r="B23" t="s">
        <v>1866</v>
      </c>
      <c r="D23" t="s">
        <v>1867</v>
      </c>
      <c r="E23" t="s">
        <v>1155</v>
      </c>
      <c r="F23" t="s">
        <v>1086</v>
      </c>
      <c r="I23" t="s">
        <v>1868</v>
      </c>
      <c r="J23" t="s">
        <v>1612</v>
      </c>
      <c r="K23" s="216" t="s">
        <v>3915</v>
      </c>
      <c r="M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v>
      </c>
    </row>
    <row r="24" spans="1:13">
      <c r="A24">
        <v>0</v>
      </c>
      <c r="B24" t="s">
        <v>1875</v>
      </c>
      <c r="D24" t="s">
        <v>1876</v>
      </c>
      <c r="E24" t="s">
        <v>1155</v>
      </c>
      <c r="F24" t="s">
        <v>1086</v>
      </c>
      <c r="I24" t="s">
        <v>1877</v>
      </c>
      <c r="J24" t="s">
        <v>1612</v>
      </c>
      <c r="K24" s="216" t="s">
        <v>3915</v>
      </c>
      <c r="M24" t="str">
        <f t="shared" si="0"/>
        <v>"Lame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v>
      </c>
    </row>
    <row r="25" spans="1:13">
      <c r="A25">
        <v>0</v>
      </c>
      <c r="B25" t="s">
        <v>1924</v>
      </c>
      <c r="D25" t="s">
        <v>1925</v>
      </c>
      <c r="E25" t="s">
        <v>1155</v>
      </c>
      <c r="F25" t="s">
        <v>1086</v>
      </c>
      <c r="I25" t="s">
        <v>1926</v>
      </c>
      <c r="J25" t="s">
        <v>1088</v>
      </c>
      <c r="K25" s="216" t="s">
        <v>5973</v>
      </c>
      <c r="M25" t="str">
        <f t="shared" si="0"/>
        <v>"Lumière":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v>
      </c>
    </row>
    <row r="26" spans="1:13">
      <c r="A26">
        <v>0</v>
      </c>
      <c r="B26" t="s">
        <v>1930</v>
      </c>
      <c r="D26" t="s">
        <v>1931</v>
      </c>
      <c r="E26" t="s">
        <v>1155</v>
      </c>
      <c r="F26" t="s">
        <v>1086</v>
      </c>
      <c r="G26" t="s">
        <v>1073</v>
      </c>
      <c r="I26" t="s">
        <v>1932</v>
      </c>
      <c r="J26" t="s">
        <v>1088</v>
      </c>
      <c r="K26" s="216" t="s">
        <v>5974</v>
      </c>
      <c r="M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v>
      </c>
    </row>
    <row r="27" spans="1:13">
      <c r="A27">
        <v>0</v>
      </c>
      <c r="B27" t="s">
        <v>1939</v>
      </c>
      <c r="C27" t="s">
        <v>1940</v>
      </c>
      <c r="D27" t="s">
        <v>1941</v>
      </c>
      <c r="E27" t="s">
        <v>1098</v>
      </c>
      <c r="F27" t="s">
        <v>1086</v>
      </c>
      <c r="I27" t="s">
        <v>1942</v>
      </c>
      <c r="J27" t="s">
        <v>1088</v>
      </c>
      <c r="K27" s="216" t="s">
        <v>5966</v>
      </c>
      <c r="M27" t="str">
        <f t="shared" si="0"/>
        <v>"Main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v>
      </c>
    </row>
    <row r="28" spans="1:13">
      <c r="A28">
        <v>0</v>
      </c>
      <c r="B28" t="s">
        <v>1968</v>
      </c>
      <c r="D28" t="s">
        <v>1968</v>
      </c>
      <c r="E28" t="s">
        <v>1085</v>
      </c>
      <c r="F28" t="s">
        <v>1086</v>
      </c>
      <c r="I28" t="s">
        <v>1969</v>
      </c>
      <c r="J28" t="s">
        <v>1088</v>
      </c>
      <c r="K28" s="216" t="s">
        <v>5974</v>
      </c>
      <c r="M28" t="str">
        <f t="shared" si="0"/>
        <v>"Message":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v>
      </c>
    </row>
    <row r="29" spans="1:13">
      <c r="A29">
        <v>0</v>
      </c>
      <c r="B29" t="s">
        <v>2007</v>
      </c>
      <c r="D29" t="s">
        <v>2008</v>
      </c>
      <c r="E29" t="s">
        <v>1109</v>
      </c>
      <c r="F29" t="s">
        <v>1086</v>
      </c>
      <c r="I29" t="s">
        <v>2009</v>
      </c>
      <c r="J29" t="s">
        <v>1088</v>
      </c>
      <c r="K29" s="216" t="s">
        <v>2920</v>
      </c>
      <c r="M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v>
      </c>
    </row>
    <row r="30" spans="1:13">
      <c r="A30">
        <v>0</v>
      </c>
      <c r="B30" t="s">
        <v>2032</v>
      </c>
      <c r="D30" t="s">
        <v>2033</v>
      </c>
      <c r="E30" t="s">
        <v>1155</v>
      </c>
      <c r="F30" t="s">
        <v>1086</v>
      </c>
      <c r="I30" t="s">
        <v>2034</v>
      </c>
      <c r="J30" t="s">
        <v>1082</v>
      </c>
      <c r="K30" s="216" t="s">
        <v>2921</v>
      </c>
      <c r="M30" t="str">
        <f t="shared" si="0"/>
        <v>"Mot de radiance": {
  "Name" : "Mot de radiance",
  "OV" : "Word of Radiance",
  "Level" : 0,
  "BBE" : "",
  "School" : "Évocation",
  "Incantation" : "1 action",
  "Type" : "",
  "Description" : "Les créatures dans un rayon de 1,50 m doivent réussir un JdS de Con. ou subir 1d6 dégâts radiants (dégâts/niv).",
  "Classes" :["CLERK"]
   }</v>
      </c>
    </row>
    <row r="31" spans="1:13">
      <c r="A31">
        <v>0</v>
      </c>
      <c r="B31" t="s">
        <v>2157</v>
      </c>
      <c r="D31" t="s">
        <v>2158</v>
      </c>
      <c r="E31" t="s">
        <v>1085</v>
      </c>
      <c r="F31" t="s">
        <v>1151</v>
      </c>
      <c r="I31" t="s">
        <v>2159</v>
      </c>
      <c r="J31" t="s">
        <v>1082</v>
      </c>
      <c r="K31" s="216" t="s">
        <v>5975</v>
      </c>
      <c r="M31" t="str">
        <f t="shared" si="0"/>
        <v>"Pierre magique": {
  "Name" : "Pierre magique",
  "OV" : "Magic Stone",
  "Level" : 0,
  "BBE" : "",
  "School" : "Transmutation",
  "Incantation" : "1 action bonus",
  "Type" : "",
  "Description" : "Jusqu'à 3 cailloux infligent 1d6 + Mod.Carac.Inc dégâts contondant si l'attaque avec un sort touche.",
  "Classes" :["ARTIFICER", "DRUID", "WIZARD"]
   }</v>
      </c>
    </row>
    <row r="32" spans="1:13">
      <c r="A32">
        <v>0</v>
      </c>
      <c r="B32" t="s">
        <v>2160</v>
      </c>
      <c r="D32" t="s">
        <v>2161</v>
      </c>
      <c r="E32" t="s">
        <v>1155</v>
      </c>
      <c r="F32" t="s">
        <v>1086</v>
      </c>
      <c r="I32" t="s">
        <v>2162</v>
      </c>
      <c r="J32" t="s">
        <v>1088</v>
      </c>
      <c r="K32" s="216" t="s">
        <v>5976</v>
      </c>
      <c r="M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v>
      </c>
    </row>
    <row r="33" spans="1:13">
      <c r="A33">
        <v>0</v>
      </c>
      <c r="B33" t="s">
        <v>2182</v>
      </c>
      <c r="D33" t="s">
        <v>2182</v>
      </c>
      <c r="E33" t="s">
        <v>1085</v>
      </c>
      <c r="F33" t="s">
        <v>1086</v>
      </c>
      <c r="I33" t="s">
        <v>2183</v>
      </c>
      <c r="J33" t="s">
        <v>1088</v>
      </c>
      <c r="K33" s="216" t="s">
        <v>5977</v>
      </c>
      <c r="M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v>
      </c>
    </row>
    <row r="34" spans="1:13">
      <c r="A34">
        <v>0</v>
      </c>
      <c r="B34" t="s">
        <v>2195</v>
      </c>
      <c r="C34" t="s">
        <v>2196</v>
      </c>
      <c r="D34" t="s">
        <v>2197</v>
      </c>
      <c r="E34" t="s">
        <v>1098</v>
      </c>
      <c r="F34" t="s">
        <v>1086</v>
      </c>
      <c r="I34" t="s">
        <v>2198</v>
      </c>
      <c r="J34" t="s">
        <v>1088</v>
      </c>
      <c r="K34" s="216" t="s">
        <v>2926</v>
      </c>
      <c r="M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v>
      </c>
    </row>
    <row r="35" spans="1:13">
      <c r="A35">
        <v>0</v>
      </c>
      <c r="B35" t="s">
        <v>2218</v>
      </c>
      <c r="D35" t="s">
        <v>2219</v>
      </c>
      <c r="E35" t="s">
        <v>1079</v>
      </c>
      <c r="F35" t="s">
        <v>1086</v>
      </c>
      <c r="I35" t="s">
        <v>2220</v>
      </c>
      <c r="J35" t="s">
        <v>1111</v>
      </c>
      <c r="K35" s="216" t="s">
        <v>3913</v>
      </c>
      <c r="M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v>
      </c>
    </row>
    <row r="36" spans="1:13">
      <c r="A36">
        <v>0</v>
      </c>
      <c r="B36" t="s">
        <v>2238</v>
      </c>
      <c r="D36" t="s">
        <v>2239</v>
      </c>
      <c r="E36" t="s">
        <v>1085</v>
      </c>
      <c r="F36" t="s">
        <v>1086</v>
      </c>
      <c r="I36" t="s">
        <v>2240</v>
      </c>
      <c r="J36" t="s">
        <v>1082</v>
      </c>
      <c r="K36" s="216" t="s">
        <v>3916</v>
      </c>
      <c r="M36" t="str">
        <f t="shared" si="0"/>
        <v>"Rafale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v>
      </c>
    </row>
    <row r="37" spans="1:13">
      <c r="A37">
        <v>0</v>
      </c>
      <c r="B37" t="s">
        <v>2251</v>
      </c>
      <c r="D37" t="s">
        <v>2252</v>
      </c>
      <c r="E37" t="s">
        <v>1155</v>
      </c>
      <c r="F37" t="s">
        <v>1086</v>
      </c>
      <c r="I37" t="s">
        <v>2253</v>
      </c>
      <c r="J37" t="s">
        <v>1088</v>
      </c>
      <c r="K37" s="216" t="s">
        <v>5976</v>
      </c>
      <c r="M37" t="str">
        <f t="shared" si="0"/>
        <v>"Rayon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v>
      </c>
    </row>
    <row r="38" spans="1:13">
      <c r="A38">
        <v>0</v>
      </c>
      <c r="B38" t="s">
        <v>2283</v>
      </c>
      <c r="D38" t="s">
        <v>2284</v>
      </c>
      <c r="E38" t="s">
        <v>1085</v>
      </c>
      <c r="F38" t="s">
        <v>1094</v>
      </c>
      <c r="I38" t="s">
        <v>2285</v>
      </c>
      <c r="J38" t="s">
        <v>1088</v>
      </c>
      <c r="K38" s="216" t="s">
        <v>5978</v>
      </c>
      <c r="M38" t="str">
        <f t="shared" si="0"/>
        <v>"Réparation":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v>
      </c>
    </row>
    <row r="39" spans="1:13">
      <c r="A39">
        <v>0</v>
      </c>
      <c r="B39" t="s">
        <v>2294</v>
      </c>
      <c r="D39" t="s">
        <v>2295</v>
      </c>
      <c r="E39" t="s">
        <v>1079</v>
      </c>
      <c r="F39" t="s">
        <v>1086</v>
      </c>
      <c r="G39" t="s">
        <v>1073</v>
      </c>
      <c r="I39" t="s">
        <v>2296</v>
      </c>
      <c r="J39" t="s">
        <v>1088</v>
      </c>
      <c r="K39" s="216" t="s">
        <v>5968</v>
      </c>
      <c r="M39" t="str">
        <f t="shared" si="0"/>
        <v>"Résistance": {
  "Name" : "Résistance",
  "OV" : "Resistance",
  "Level" : 0,
  "BBE" : "",
  "School" : "Abjuration",
  "Incantation" : "1 action",
  "Type" : "Concentration",
  "Description" : "La cible peut ajouter 1d4 à un jet de sauvegarde de son choix.",
  "Classes" :["ARTIFICER", "CLERK", "DRUID"]
   }</v>
      </c>
    </row>
    <row r="40" spans="1:13">
      <c r="A40">
        <v>0</v>
      </c>
      <c r="B40" t="s">
        <v>2341</v>
      </c>
      <c r="D40" t="s">
        <v>2342</v>
      </c>
      <c r="E40" t="s">
        <v>1085</v>
      </c>
      <c r="F40" t="s">
        <v>1086</v>
      </c>
      <c r="I40" t="s">
        <v>2343</v>
      </c>
      <c r="J40" t="s">
        <v>1082</v>
      </c>
      <c r="K40" s="216" t="s">
        <v>2926</v>
      </c>
      <c r="M40" t="str">
        <f t="shared" si="0"/>
        <v>"Sauvagerie primitive": {
  "Name" : "Sauvagerie primitive",
  "OV" : "Primal Savagery",
  "Level" : 0,
  "BBE" : "",
  "School" : "Transmutation",
  "Incantation" : "1 action",
  "Type" : "",
  "Description" : "Si l'attaque au corps à corps avec un sort touche, inflige 1d10 dégâts d'acide (dégâts/niv).",
  "Classes" :["DRUID"]
   }</v>
      </c>
    </row>
    <row r="41" spans="1:13">
      <c r="A41">
        <v>0</v>
      </c>
      <c r="B41" t="s">
        <v>2415</v>
      </c>
      <c r="C41" t="s">
        <v>2416</v>
      </c>
      <c r="D41" t="s">
        <v>2417</v>
      </c>
      <c r="E41" t="s">
        <v>1121</v>
      </c>
      <c r="F41" t="s">
        <v>1086</v>
      </c>
      <c r="I41" t="s">
        <v>2418</v>
      </c>
      <c r="J41" t="s">
        <v>1088</v>
      </c>
      <c r="K41" s="216" t="s">
        <v>5979</v>
      </c>
      <c r="M41" t="str">
        <f t="shared" si="0"/>
        <v>"Stabilisation": {
  "Name" : "Stabilisation",
  "OV" : "Spare the Dying",
  "Level" : 0,
  "BBE" : "Épargner les mourants",
  "School" : "Nécromancie",
  "Incantation" : "1 action",
  "Type" : "",
  "Description" : "1 créature vivante à 0 point de vie est immédiatement stabilisée.",
  "Classes" :["ARTIFICER", "CLERK"]
   }</v>
      </c>
    </row>
    <row r="42" spans="1:13">
      <c r="A42">
        <v>0</v>
      </c>
      <c r="B42" t="s">
        <v>2474</v>
      </c>
      <c r="D42" t="s">
        <v>2475</v>
      </c>
      <c r="E42" t="s">
        <v>1085</v>
      </c>
      <c r="F42" t="s">
        <v>1086</v>
      </c>
      <c r="I42" t="s">
        <v>2476</v>
      </c>
      <c r="J42" t="s">
        <v>1088</v>
      </c>
      <c r="K42" s="216" t="s">
        <v>2921</v>
      </c>
      <c r="M42" t="str">
        <f t="shared" si="0"/>
        <v>"Thaumaturgie": {
  "Name" : "Thaumaturgie",
  "OV" : "Thaumaturgy",
  "Level" : 0,
  "BBE" : "",
  "School" : "Transmutation",
  "Incantation" : "1 action",
  "Type" : "",
  "Description" : "Crée divers effets mineurs visant à impressionner ou distraire des créatures.",
  "Classes" :["CLERK"]
   }</v>
      </c>
    </row>
    <row r="43" spans="1:13">
      <c r="A43">
        <v>0</v>
      </c>
      <c r="B43" t="s">
        <v>2490</v>
      </c>
      <c r="D43" t="s">
        <v>2491</v>
      </c>
      <c r="E43" t="s">
        <v>1155</v>
      </c>
      <c r="F43" t="s">
        <v>1086</v>
      </c>
      <c r="I43" t="s">
        <v>2492</v>
      </c>
      <c r="J43" t="s">
        <v>1088</v>
      </c>
      <c r="K43" s="216" t="s">
        <v>5967</v>
      </c>
      <c r="M43" t="str">
        <f t="shared" si="0"/>
        <v>"Trait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v>
      </c>
    </row>
    <row r="44" spans="1:13">
      <c r="A44">
        <v>0</v>
      </c>
      <c r="B44" t="s">
        <v>2518</v>
      </c>
      <c r="C44" t="s">
        <v>2519</v>
      </c>
      <c r="D44" t="s">
        <v>2520</v>
      </c>
      <c r="E44" t="s">
        <v>1098</v>
      </c>
      <c r="F44" t="s">
        <v>1086</v>
      </c>
      <c r="I44" t="s">
        <v>2521</v>
      </c>
      <c r="J44" t="s">
        <v>1088</v>
      </c>
      <c r="K44" s="216" t="s">
        <v>5970</v>
      </c>
      <c r="M44" t="str">
        <f t="shared" si="0"/>
        <v>"Vaporisation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v>
      </c>
    </row>
    <row r="45" spans="1:13">
      <c r="A45">
        <v>1</v>
      </c>
      <c r="B45" t="s">
        <v>1077</v>
      </c>
      <c r="D45" t="s">
        <v>1078</v>
      </c>
      <c r="E45" t="s">
        <v>1079</v>
      </c>
      <c r="F45" t="s">
        <v>1080</v>
      </c>
      <c r="I45" t="s">
        <v>1081</v>
      </c>
      <c r="J45" t="s">
        <v>1082</v>
      </c>
      <c r="K45" s="216" t="s">
        <v>5980</v>
      </c>
      <c r="M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v>
      </c>
    </row>
    <row r="46" spans="1:13">
      <c r="A46">
        <v>1</v>
      </c>
      <c r="B46" t="s">
        <v>1092</v>
      </c>
      <c r="D46" t="s">
        <v>1093</v>
      </c>
      <c r="E46" t="s">
        <v>1079</v>
      </c>
      <c r="F46" t="s">
        <v>1094</v>
      </c>
      <c r="H46" t="s">
        <v>1074</v>
      </c>
      <c r="I46" t="s">
        <v>1095</v>
      </c>
      <c r="J46" t="s">
        <v>1088</v>
      </c>
      <c r="K46" s="216" t="s">
        <v>5980</v>
      </c>
      <c r="M46" t="str">
        <f t="shared" si="0"/>
        <v>"Alarme":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v>
      </c>
    </row>
    <row r="47" spans="1:13">
      <c r="A47">
        <v>1</v>
      </c>
      <c r="B47" t="s">
        <v>1112</v>
      </c>
      <c r="D47" t="s">
        <v>1113</v>
      </c>
      <c r="E47" t="s">
        <v>1109</v>
      </c>
      <c r="F47" t="s">
        <v>1086</v>
      </c>
      <c r="I47" t="s">
        <v>1114</v>
      </c>
      <c r="J47" t="s">
        <v>1088</v>
      </c>
      <c r="K47" s="216" t="s">
        <v>2938</v>
      </c>
      <c r="M47" t="str">
        <f t="shared" si="0"/>
        <v>"Amitié avec les animaux": {
  "Name" : "Amitié avec les animaux",
  "OV" : "Animal Friendship",
  "Level" : 1,
  "BBE" : "",
  "School" : "Enchantement",
  "Incantation" : "1 action",
  "Type" : "",
  "Description" : "Une bête d'Intelligence 3 ou moins doit réussir un JdS de Sag. ou être charmée (+1 bête/niv).",
  "Classes" :["BARD", "DRUID", "PROWLER"]
   }</v>
      </c>
    </row>
    <row r="48" spans="1:13">
      <c r="A48">
        <v>1</v>
      </c>
      <c r="B48" t="s">
        <v>1130</v>
      </c>
      <c r="D48" t="s">
        <v>1131</v>
      </c>
      <c r="E48" t="s">
        <v>1098</v>
      </c>
      <c r="F48" t="s">
        <v>1132</v>
      </c>
      <c r="H48" t="s">
        <v>1074</v>
      </c>
      <c r="I48" t="s">
        <v>1133</v>
      </c>
      <c r="J48" t="s">
        <v>1088</v>
      </c>
      <c r="K48" s="216" t="s">
        <v>3922</v>
      </c>
      <c r="M48" t="str">
        <f t="shared" si="0"/>
        <v>"Appel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v>
      </c>
    </row>
    <row r="49" spans="1:13">
      <c r="A49">
        <v>1</v>
      </c>
      <c r="B49" t="s">
        <v>1160</v>
      </c>
      <c r="D49" t="s">
        <v>1161</v>
      </c>
      <c r="E49" t="s">
        <v>1079</v>
      </c>
      <c r="F49" t="s">
        <v>1086</v>
      </c>
      <c r="I49" t="s">
        <v>1162</v>
      </c>
      <c r="J49" t="s">
        <v>1111</v>
      </c>
      <c r="K49" s="216" t="s">
        <v>2945</v>
      </c>
      <c r="M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v>
      </c>
    </row>
    <row r="50" spans="1:13">
      <c r="A50">
        <v>1</v>
      </c>
      <c r="B50" t="s">
        <v>1163</v>
      </c>
      <c r="C50" t="s">
        <v>1164</v>
      </c>
      <c r="D50" t="s">
        <v>1165</v>
      </c>
      <c r="E50" t="s">
        <v>1079</v>
      </c>
      <c r="F50" t="s">
        <v>1086</v>
      </c>
      <c r="I50" t="s">
        <v>1166</v>
      </c>
      <c r="J50" t="s">
        <v>1088</v>
      </c>
      <c r="K50" s="216" t="s">
        <v>3914</v>
      </c>
      <c r="M50" t="str">
        <f t="shared" si="0"/>
        <v>"Armure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v>
      </c>
    </row>
    <row r="51" spans="1:13">
      <c r="A51">
        <v>1</v>
      </c>
      <c r="B51" t="s">
        <v>1211</v>
      </c>
      <c r="D51" t="s">
        <v>1212</v>
      </c>
      <c r="E51" t="s">
        <v>1085</v>
      </c>
      <c r="F51" t="s">
        <v>1086</v>
      </c>
      <c r="I51" t="s">
        <v>1213</v>
      </c>
      <c r="J51" t="s">
        <v>1088</v>
      </c>
      <c r="K51" s="216" t="s">
        <v>2939</v>
      </c>
      <c r="M51" t="str">
        <f t="shared" si="0"/>
        <v>"Baies nourricières": {
  "Name" : "Baies nourricières",
  "OV" : "Goodberry",
  "Level" : 1,
  "BBE" : "",
  "School" : "Transmutation",
  "Incantation" : "1 action",
  "Type" : "",
  "Description" : "Crée jusqu'à 10 baies qui redonnent 1 pv chacune et gardent leur pouvoir durant 24 heures.",
  "Classes" :["DRUID", "PROWLER"]
   }</v>
      </c>
    </row>
    <row r="52" spans="1:13">
      <c r="A52">
        <v>1</v>
      </c>
      <c r="B52" t="s">
        <v>1220</v>
      </c>
      <c r="D52" t="s">
        <v>1221</v>
      </c>
      <c r="E52" t="s">
        <v>1109</v>
      </c>
      <c r="F52" t="s">
        <v>1086</v>
      </c>
      <c r="G52" t="s">
        <v>1073</v>
      </c>
      <c r="I52" t="s">
        <v>1222</v>
      </c>
      <c r="J52" t="s">
        <v>1088</v>
      </c>
      <c r="K52" s="216" t="s">
        <v>2933</v>
      </c>
      <c r="M52" t="str">
        <f t="shared" si="0"/>
        <v>"Bénédiction": {
  "Name" : "Bénédiction",
  "OV" : "Bless",
  "Level" : 1,
  "BBE" : "",
  "School" : "Enchantement",
  "Incantation" : "1 action",
  "Type" : "Concentration",
  "Description" : "Jusqu'à 3 cibles peuvent ajouter 1d4 à leur jet d'attaque ou de sauvegarde (+1 créature/niv).",
  "Classes" :["CLERK", "PALADIN"]
   }</v>
      </c>
    </row>
    <row r="53" spans="1:13">
      <c r="A53">
        <v>1</v>
      </c>
      <c r="B53" t="s">
        <v>1223</v>
      </c>
      <c r="D53" t="s">
        <v>1224</v>
      </c>
      <c r="E53" t="s">
        <v>1121</v>
      </c>
      <c r="F53" t="s">
        <v>1086</v>
      </c>
      <c r="I53" t="s">
        <v>1225</v>
      </c>
      <c r="J53" t="s">
        <v>1088</v>
      </c>
      <c r="K53" s="216" t="s">
        <v>2921</v>
      </c>
      <c r="M53" t="str">
        <f t="shared" si="0"/>
        <v>"Blessure": {
  "Name" : "Blessure",
  "OV" : "Inflict Wounds",
  "Level" : 1,
  "BBE" : "",
  "School" : "Nécromancie",
  "Incantation" : "1 action",
  "Type" : "",
  "Description" : "Si l'attaque touche, inflige subit 3d10 dégâts nécrotiques (dégâts/niv).",
  "Classes" :["CLERK"]
   }</v>
      </c>
    </row>
    <row r="54" spans="1:13">
      <c r="A54">
        <v>1</v>
      </c>
      <c r="B54" t="s">
        <v>386</v>
      </c>
      <c r="D54" t="s">
        <v>388</v>
      </c>
      <c r="E54" t="s">
        <v>1079</v>
      </c>
      <c r="F54" t="s">
        <v>1080</v>
      </c>
      <c r="I54" t="s">
        <v>1232</v>
      </c>
      <c r="J54" t="s">
        <v>1088</v>
      </c>
      <c r="K54" s="216" t="s">
        <v>3914</v>
      </c>
      <c r="M54" t="str">
        <f t="shared" si="0"/>
        <v>"Bouclier": {
  "Name" : "Bouclier",
  "OV" : "Shield",
  "Level" : 1,
  "BBE" : "",
  "School" : "Abjuration",
  "Incantation" : "1 réaction",
  "Type" : "",
  "Description" : "En réaction, la lanceur gagne un bonus de +5 à la CA et ne prend aucun dégât du sort projectile magique.",
  "Classes" :["SORCERER", "MAGICIAN", "OCCULT_KNIGHT", "ARCANE_SWINDLER"]
   }</v>
      </c>
    </row>
    <row r="55" spans="1:13">
      <c r="A55">
        <v>1</v>
      </c>
      <c r="B55" t="s">
        <v>1236</v>
      </c>
      <c r="D55" t="s">
        <v>1237</v>
      </c>
      <c r="E55" t="s">
        <v>1079</v>
      </c>
      <c r="F55" t="s">
        <v>1151</v>
      </c>
      <c r="G55" t="s">
        <v>1073</v>
      </c>
      <c r="I55" t="s">
        <v>1238</v>
      </c>
      <c r="J55" t="s">
        <v>1088</v>
      </c>
      <c r="K55" s="216" t="s">
        <v>2933</v>
      </c>
      <c r="M55" t="str">
        <f t="shared" si="0"/>
        <v>"Bouclier de la foi": {
  "Name" : "Bouclier de la foi",
  "OV" : "Shield of Faith",
  "Level" : 1,
  "BBE" : "",
  "School" : "Abjuration",
  "Incantation" : "1 action bonus",
  "Type" : "Concentration",
  "Description" : "La cible obtient un bonus de +2 de CA.",
  "Classes" :["CLERK", "PALADIN"]
   }</v>
      </c>
    </row>
    <row r="56" spans="1:13">
      <c r="A56">
        <v>1</v>
      </c>
      <c r="B56" t="s">
        <v>1259</v>
      </c>
      <c r="D56" t="s">
        <v>1260</v>
      </c>
      <c r="E56" t="s">
        <v>1085</v>
      </c>
      <c r="F56" t="s">
        <v>1086</v>
      </c>
      <c r="I56" t="s">
        <v>1261</v>
      </c>
      <c r="J56" t="s">
        <v>1082</v>
      </c>
      <c r="K56" s="216" t="s">
        <v>5976</v>
      </c>
      <c r="M56" t="str">
        <f t="shared" si="0"/>
        <v>"Catapulte":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v>
      </c>
    </row>
    <row r="57" spans="1:13">
      <c r="A57">
        <v>1</v>
      </c>
      <c r="B57" t="s">
        <v>1276</v>
      </c>
      <c r="D57" t="s">
        <v>1277</v>
      </c>
      <c r="E57" t="s">
        <v>1079</v>
      </c>
      <c r="F57" t="s">
        <v>1132</v>
      </c>
      <c r="H57" t="s">
        <v>1074</v>
      </c>
      <c r="I57" t="s">
        <v>1278</v>
      </c>
      <c r="J57" t="s">
        <v>1082</v>
      </c>
      <c r="K57" s="216" t="s">
        <v>2933</v>
      </c>
      <c r="M57" t="str">
        <f t="shared" si="0"/>
        <v>"Cérémonie": {
  "Name" : "Cérémonie",
  "OV" : "Ceremony",
  "Level" : 1,
  "BBE" : "",
  "School" : "Abjuration",
  "Incantation" : "1 heure",
  "Type" : "Rituel",
  "Description" : "Célèbre un rite religieux (bénir de l'eau, octroyer un bonus à la CA, aux JdS, au jets de carac, etc).",
  "Classes" :["CLERK", "PALADIN"]
   }</v>
      </c>
    </row>
    <row r="58" spans="1:13">
      <c r="A58">
        <v>1</v>
      </c>
      <c r="B58" t="s">
        <v>1294</v>
      </c>
      <c r="D58" t="s">
        <v>1295</v>
      </c>
      <c r="E58" t="s">
        <v>1109</v>
      </c>
      <c r="F58" t="s">
        <v>1086</v>
      </c>
      <c r="I58" t="s">
        <v>1296</v>
      </c>
      <c r="J58" t="s">
        <v>1088</v>
      </c>
      <c r="K58" s="216" t="s">
        <v>3917</v>
      </c>
      <c r="M58" t="str">
        <f t="shared" si="0"/>
        <v>"Charme-personne":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v>
      </c>
    </row>
    <row r="59" spans="1:13">
      <c r="A59">
        <v>1</v>
      </c>
      <c r="B59" t="s">
        <v>1297</v>
      </c>
      <c r="C59" t="s">
        <v>1298</v>
      </c>
      <c r="D59" t="s">
        <v>1299</v>
      </c>
      <c r="E59" t="s">
        <v>1155</v>
      </c>
      <c r="F59" t="s">
        <v>1151</v>
      </c>
      <c r="G59" t="s">
        <v>1073</v>
      </c>
      <c r="I59" t="s">
        <v>1300</v>
      </c>
      <c r="J59" t="s">
        <v>1148</v>
      </c>
      <c r="K59" s="216" t="s">
        <v>2934</v>
      </c>
      <c r="M59" t="str">
        <f t="shared" si="0"/>
        <v>"Châtiment ardent": {
  "Name" : "Châtiment ardent",
  "OV" : "Searing Smite",
  "Level" : 1,
  "BBE" : "Frappe ardente",
  "School" : "Évocation",
  "Incantation" : "1 action bonus",
  "Type" : "Concentration",
  "Description" : "Si l'attaque touche, inflige 1d6 dégâts de feu extra et enflamme la cible (dégâts/niv).",
  "Classes" :["PALADIN"]
   }</v>
      </c>
    </row>
    <row r="60" spans="1:13">
      <c r="A60">
        <v>1</v>
      </c>
      <c r="B60" t="s">
        <v>1309</v>
      </c>
      <c r="C60" t="s">
        <v>1310</v>
      </c>
      <c r="D60" t="s">
        <v>1311</v>
      </c>
      <c r="E60" t="s">
        <v>1155</v>
      </c>
      <c r="F60" t="s">
        <v>1151</v>
      </c>
      <c r="G60" t="s">
        <v>1073</v>
      </c>
      <c r="I60" t="s">
        <v>1312</v>
      </c>
      <c r="J60" t="s">
        <v>1148</v>
      </c>
      <c r="K60" s="216" t="s">
        <v>2934</v>
      </c>
      <c r="M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v>
      </c>
    </row>
    <row r="61" spans="1:13">
      <c r="A61">
        <v>1</v>
      </c>
      <c r="B61" t="s">
        <v>1321</v>
      </c>
      <c r="C61" t="s">
        <v>1322</v>
      </c>
      <c r="D61" t="s">
        <v>1323</v>
      </c>
      <c r="E61" t="s">
        <v>1155</v>
      </c>
      <c r="F61" t="s">
        <v>1151</v>
      </c>
      <c r="G61" t="s">
        <v>1073</v>
      </c>
      <c r="I61" t="s">
        <v>1324</v>
      </c>
      <c r="J61" t="s">
        <v>1148</v>
      </c>
      <c r="K61" s="216" t="s">
        <v>2934</v>
      </c>
      <c r="M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v>
      </c>
    </row>
    <row r="62" spans="1:13">
      <c r="A62">
        <v>1</v>
      </c>
      <c r="B62" t="s">
        <v>1338</v>
      </c>
      <c r="D62" t="s">
        <v>1339</v>
      </c>
      <c r="E62" t="s">
        <v>1079</v>
      </c>
      <c r="F62" t="s">
        <v>1094</v>
      </c>
      <c r="I62" t="s">
        <v>1340</v>
      </c>
      <c r="J62" t="s">
        <v>1082</v>
      </c>
      <c r="K62" s="216" t="s">
        <v>5981</v>
      </c>
      <c r="M62" t="str">
        <f t="shared" si="0"/>
        <v>"Collet": {
  "Name" : "Collet",
  "OV" : "Snare",
  "Level" : 1,
  "BBE" : "",
  "School" : "Abjuration",
  "Incantation" : "1 minute",
  "Type" : "",
  "Description" : "Crée un piège magique (JdS de Dex. ou la créature de taille P à G est hissée en l'air).",
  "Classes" :["ARTIFICER", "DRUID", "MAGICIAN", "OCCULT_KNIGHT", "ARCANE_SWINDLER", "PROWLER"]
   }</v>
      </c>
    </row>
    <row r="63" spans="1:13">
      <c r="A63">
        <v>1</v>
      </c>
      <c r="B63" t="s">
        <v>1348</v>
      </c>
      <c r="D63" t="s">
        <v>1349</v>
      </c>
      <c r="E63" t="s">
        <v>1179</v>
      </c>
      <c r="F63" t="s">
        <v>1086</v>
      </c>
      <c r="H63" t="s">
        <v>1074</v>
      </c>
      <c r="I63" t="s">
        <v>1350</v>
      </c>
      <c r="J63" t="s">
        <v>1088</v>
      </c>
      <c r="K63" s="216" t="s">
        <v>2938</v>
      </c>
      <c r="M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v>
      </c>
    </row>
    <row r="64" spans="1:13">
      <c r="A64">
        <v>1</v>
      </c>
      <c r="B64" t="s">
        <v>1363</v>
      </c>
      <c r="D64" t="s">
        <v>1364</v>
      </c>
      <c r="E64" t="s">
        <v>1179</v>
      </c>
      <c r="F64" t="s">
        <v>1086</v>
      </c>
      <c r="H64" t="s">
        <v>1074</v>
      </c>
      <c r="I64" t="s">
        <v>1365</v>
      </c>
      <c r="J64" t="s">
        <v>1088</v>
      </c>
      <c r="K64" s="216" t="s">
        <v>3913</v>
      </c>
      <c r="M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v>
      </c>
    </row>
    <row r="65" spans="1:13">
      <c r="A65">
        <v>1</v>
      </c>
      <c r="B65" t="s">
        <v>1416</v>
      </c>
      <c r="D65" t="s">
        <v>1417</v>
      </c>
      <c r="E65" t="s">
        <v>1128</v>
      </c>
      <c r="F65" t="s">
        <v>1086</v>
      </c>
      <c r="I65" t="s">
        <v>1418</v>
      </c>
      <c r="J65" t="s">
        <v>1088</v>
      </c>
      <c r="K65" s="216" t="s">
        <v>3914</v>
      </c>
      <c r="M65" t="str">
        <f t="shared" si="0"/>
        <v>"Couleurs dansantes": {
  "Name" : "Couleurs dansantes",
  "OV" : "Color Spray",
  "Level" : 1,
  "BBE" : "",
  "School" : "Illusion",
  "Incantation" : "1 action",
  "Type" : "",
  "Description" : "6d10 pv de créatures sont éblouies par ordre croissant de leurs pv actuels (+2d10 pv/niv).",
  "Classes" :["SORCERER", "MAGICIAN", "OCCULT_KNIGHT", "ARCANE_SWINDLER"]
   }</v>
      </c>
    </row>
    <row r="66" spans="1:13">
      <c r="A66">
        <v>1</v>
      </c>
      <c r="B66" t="s">
        <v>1432</v>
      </c>
      <c r="D66" t="s">
        <v>1433</v>
      </c>
      <c r="E66" t="s">
        <v>1098</v>
      </c>
      <c r="F66" t="s">
        <v>1086</v>
      </c>
      <c r="I66" t="s">
        <v>1434</v>
      </c>
      <c r="J66" t="s">
        <v>1082</v>
      </c>
      <c r="K66" s="216" t="s">
        <v>3916</v>
      </c>
      <c r="M66" t="str">
        <f t="shared" si="0"/>
        <v>"Couteau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v>
      </c>
    </row>
    <row r="67" spans="1:13">
      <c r="A67">
        <v>1</v>
      </c>
      <c r="B67" t="s">
        <v>1447</v>
      </c>
      <c r="D67" t="s">
        <v>1448</v>
      </c>
      <c r="E67" t="s">
        <v>1085</v>
      </c>
      <c r="F67" t="s">
        <v>1086</v>
      </c>
      <c r="I67" t="s">
        <v>1449</v>
      </c>
      <c r="J67" t="s">
        <v>1088</v>
      </c>
      <c r="K67" s="216" t="s">
        <v>2925</v>
      </c>
      <c r="M67" t="str">
        <f t="shared" ref="M67:M130" si="1">""""&amp;B67&amp;""": {
  ""Name"" : """&amp;B67&amp;""",
  ""OV"" : """&amp;D67&amp;""",
  ""Level"" : "&amp;A67&amp;",
  ""BBE"" : """&amp;C67&amp;""",
  ""School"" : """&amp;PROPER(E67)&amp;""",
  ""Incantation"" : """&amp;F67&amp;""",
  ""Type"" : """&amp;TRIM(G67&amp;" "&amp;H67)&amp;""",
  ""Description"" : """&amp;I67&amp;""",
  ""Classes"" :["&amp;K67&amp;"]
   }"</f>
        <v>"Création ou destruction d'eau": {
  "Name" : "Création ou destruction d'eau",
  "OV" : "Create or Destroy Water",
  "Level" : 1,
  "BBE" : "",
  "School" : "Transmutation",
  "Incantation" : "1 action",
  "Type" : "",
  "Description" : "Crée ou détruit jusqu'à 40 litres d'eau (+40 litres/niv).",
  "Classes" :["CLERK", "DRUID"]
   }</v>
      </c>
    </row>
    <row r="68" spans="1:13">
      <c r="A68">
        <v>1</v>
      </c>
      <c r="B68" t="s">
        <v>1469</v>
      </c>
      <c r="D68" t="s">
        <v>1470</v>
      </c>
      <c r="E68" t="s">
        <v>1128</v>
      </c>
      <c r="F68" t="s">
        <v>1086</v>
      </c>
      <c r="I68" t="s">
        <v>1471</v>
      </c>
      <c r="J68" t="s">
        <v>1088</v>
      </c>
      <c r="K68" s="216" t="s">
        <v>5974</v>
      </c>
      <c r="M68" t="str">
        <f t="shared" si="1"/>
        <v>"Déguisement":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v>
      </c>
    </row>
    <row r="69" spans="1:13">
      <c r="A69">
        <v>1</v>
      </c>
      <c r="B69" t="s">
        <v>1485</v>
      </c>
      <c r="D69" t="s">
        <v>1486</v>
      </c>
      <c r="E69" t="s">
        <v>1179</v>
      </c>
      <c r="F69" t="s">
        <v>1086</v>
      </c>
      <c r="G69" t="s">
        <v>1073</v>
      </c>
      <c r="H69" t="s">
        <v>1074</v>
      </c>
      <c r="I69" t="s">
        <v>1487</v>
      </c>
      <c r="J69" t="s">
        <v>1088</v>
      </c>
      <c r="K69" s="216" t="s">
        <v>5982</v>
      </c>
      <c r="M69" t="str">
        <f t="shared" si="1"/>
        <v>"Détection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v>
      </c>
    </row>
    <row r="70" spans="1:13">
      <c r="A70">
        <v>1</v>
      </c>
      <c r="B70" t="s">
        <v>1491</v>
      </c>
      <c r="D70" t="s">
        <v>1492</v>
      </c>
      <c r="E70" t="s">
        <v>1179</v>
      </c>
      <c r="F70" t="s">
        <v>1086</v>
      </c>
      <c r="G70" t="s">
        <v>1073</v>
      </c>
      <c r="I70" t="s">
        <v>1493</v>
      </c>
      <c r="J70" t="s">
        <v>1088</v>
      </c>
      <c r="K70" s="216" t="s">
        <v>2933</v>
      </c>
      <c r="M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v>
      </c>
    </row>
    <row r="71" spans="1:13">
      <c r="A71">
        <v>1</v>
      </c>
      <c r="B71" t="s">
        <v>1494</v>
      </c>
      <c r="D71" t="s">
        <v>1495</v>
      </c>
      <c r="E71" t="s">
        <v>1179</v>
      </c>
      <c r="F71" t="s">
        <v>1086</v>
      </c>
      <c r="G71" t="s">
        <v>1073</v>
      </c>
      <c r="H71" t="s">
        <v>1074</v>
      </c>
      <c r="I71" t="s">
        <v>1496</v>
      </c>
      <c r="J71" t="s">
        <v>1088</v>
      </c>
      <c r="K71" s="216" t="s">
        <v>2940</v>
      </c>
      <c r="M71" t="str">
        <f t="shared" si="1"/>
        <v>"Détection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v>
      </c>
    </row>
    <row r="72" spans="1:13">
      <c r="A72">
        <v>1</v>
      </c>
      <c r="B72" t="s">
        <v>1497</v>
      </c>
      <c r="D72" t="s">
        <v>1498</v>
      </c>
      <c r="E72" t="s">
        <v>1098</v>
      </c>
      <c r="F72" t="s">
        <v>1086</v>
      </c>
      <c r="H72" t="s">
        <v>1074</v>
      </c>
      <c r="I72" t="s">
        <v>1499</v>
      </c>
      <c r="J72" t="s">
        <v>1088</v>
      </c>
      <c r="K72" s="216" t="s">
        <v>3922</v>
      </c>
      <c r="M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v>
      </c>
    </row>
    <row r="73" spans="1:13">
      <c r="A73">
        <v>1</v>
      </c>
      <c r="B73" t="s">
        <v>1540</v>
      </c>
      <c r="D73" t="s">
        <v>1541</v>
      </c>
      <c r="E73" t="s">
        <v>1109</v>
      </c>
      <c r="F73" t="s">
        <v>1151</v>
      </c>
      <c r="G73" t="s">
        <v>1073</v>
      </c>
      <c r="I73" t="s">
        <v>1542</v>
      </c>
      <c r="J73" t="s">
        <v>1148</v>
      </c>
      <c r="K73" s="216" t="s">
        <v>2934</v>
      </c>
      <c r="M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v>
      </c>
    </row>
    <row r="74" spans="1:13">
      <c r="A74">
        <v>1</v>
      </c>
      <c r="B74" t="s">
        <v>1546</v>
      </c>
      <c r="D74" t="s">
        <v>1547</v>
      </c>
      <c r="E74" t="s">
        <v>1155</v>
      </c>
      <c r="F74" t="s">
        <v>1086</v>
      </c>
      <c r="I74" t="s">
        <v>1548</v>
      </c>
      <c r="J74" t="s">
        <v>1082</v>
      </c>
      <c r="K74" s="216" t="s">
        <v>2931</v>
      </c>
      <c r="M74" t="str">
        <f t="shared" si="1"/>
        <v>"Éclair de chaos": {
  "Name" : "Éclair de chaos",
  "OV" : "Chaos Bolt",
  "Level" : 1,
  "BBE" : "",
  "School" : "Évocation",
  "Incantation" : "1 action",
  "Type" : "",
  "Description" : "Si l'attaque touche, inflige 2d8 + 1d6 dégâts de type variable (dégâts/niv). Rebond si double 8.",
  "Classes" :["SORCERER"]
   }</v>
      </c>
    </row>
    <row r="75" spans="1:13">
      <c r="A75">
        <v>1</v>
      </c>
      <c r="B75" t="s">
        <v>1549</v>
      </c>
      <c r="C75" t="s">
        <v>1550</v>
      </c>
      <c r="D75" t="s">
        <v>1551</v>
      </c>
      <c r="E75" t="s">
        <v>1155</v>
      </c>
      <c r="F75" t="s">
        <v>1086</v>
      </c>
      <c r="G75" t="s">
        <v>1073</v>
      </c>
      <c r="I75" t="s">
        <v>1552</v>
      </c>
      <c r="J75" t="s">
        <v>1111</v>
      </c>
      <c r="K75" s="216" t="s">
        <v>3915</v>
      </c>
      <c r="M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v>
      </c>
    </row>
    <row r="76" spans="1:13">
      <c r="A76">
        <v>1</v>
      </c>
      <c r="B76" t="s">
        <v>1553</v>
      </c>
      <c r="C76" t="s">
        <v>1554</v>
      </c>
      <c r="D76" t="s">
        <v>1555</v>
      </c>
      <c r="E76" t="s">
        <v>1155</v>
      </c>
      <c r="F76" t="s">
        <v>1086</v>
      </c>
      <c r="I76" t="s">
        <v>1556</v>
      </c>
      <c r="J76" t="s">
        <v>1088</v>
      </c>
      <c r="K76" s="216" t="s">
        <v>2921</v>
      </c>
      <c r="M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"Classes" :["CLERK"]
   }</v>
      </c>
    </row>
    <row r="77" spans="1:13">
      <c r="A77">
        <v>1</v>
      </c>
      <c r="B77" t="s">
        <v>1569</v>
      </c>
      <c r="D77" t="s">
        <v>1570</v>
      </c>
      <c r="E77" t="s">
        <v>1098</v>
      </c>
      <c r="F77" t="s">
        <v>1086</v>
      </c>
      <c r="G77" t="s">
        <v>1073</v>
      </c>
      <c r="I77" t="s">
        <v>1571</v>
      </c>
      <c r="J77" t="s">
        <v>1088</v>
      </c>
      <c r="K77" s="216" t="s">
        <v>2926</v>
      </c>
      <c r="M77" t="str">
        <f t="shared" si="1"/>
        <v>"Enchevêtrement": {
  "Name" : "Enchevêtrement",
  "OV" : "Entangle",
  "Level" : 1,
  "BBE" : "",
  "School" : "Invocation",
  "Incantation" : "1 action",
  "Type" : "Concentration",
  "Description" : "Les créatures dans un carré de 6 m (terrain difficile) doivent réussir un JdS de For. ou être entravées.",
  "Classes" :["DRUID"]
   }</v>
      </c>
    </row>
    <row r="78" spans="1:13">
      <c r="A78">
        <v>1</v>
      </c>
      <c r="B78" t="s">
        <v>1631</v>
      </c>
      <c r="D78" t="s">
        <v>1632</v>
      </c>
      <c r="E78" t="s">
        <v>1155</v>
      </c>
      <c r="F78" t="s">
        <v>1151</v>
      </c>
      <c r="G78" t="s">
        <v>1073</v>
      </c>
      <c r="I78" t="s">
        <v>1633</v>
      </c>
      <c r="J78" t="s">
        <v>1088</v>
      </c>
      <c r="K78" s="216" t="s">
        <v>2934</v>
      </c>
      <c r="M78" t="str">
        <f t="shared" si="1"/>
        <v>"Faveur divine": {
  "Name" : "Faveur divine",
  "OV" : "Divine Favor",
  "Level" : 1,
  "BBE" : "",
  "School" : "Évocation",
  "Incantation" : "1 action bonus",
  "Type" : "Concentration",
  "Description" : "Si une attaque avec une arme touche, inflige 1d4 dégâts radiants extra.",
  "Classes" :["PALADIN"]
   }</v>
      </c>
    </row>
    <row r="79" spans="1:13">
      <c r="A79">
        <v>1</v>
      </c>
      <c r="B79" t="s">
        <v>1637</v>
      </c>
      <c r="C79" t="s">
        <v>1638</v>
      </c>
      <c r="D79" t="s">
        <v>1639</v>
      </c>
      <c r="E79" t="s">
        <v>1085</v>
      </c>
      <c r="F79" t="s">
        <v>1080</v>
      </c>
      <c r="I79" t="s">
        <v>1640</v>
      </c>
      <c r="J79" t="s">
        <v>1088</v>
      </c>
      <c r="K79" s="216" t="s">
        <v>5974</v>
      </c>
      <c r="M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v>
      </c>
    </row>
    <row r="80" spans="1:13">
      <c r="A80">
        <v>1</v>
      </c>
      <c r="B80" t="s">
        <v>1650</v>
      </c>
      <c r="D80" t="s">
        <v>1651</v>
      </c>
      <c r="E80" t="s">
        <v>1109</v>
      </c>
      <c r="F80" t="s">
        <v>1086</v>
      </c>
      <c r="G80" t="s">
        <v>1073</v>
      </c>
      <c r="I80" t="s">
        <v>1652</v>
      </c>
      <c r="J80" t="s">
        <v>1088</v>
      </c>
      <c r="K80" s="216" t="s">
        <v>2922</v>
      </c>
      <c r="M80" t="str">
        <f t="shared" si="1"/>
        <v>"Fléau": {
  "Name" : "Fléau",
  "OV" : "Bane",
  "Level" : 1,
  "BBE" : "",
  "School" : "Enchantement",
  "Incantation" : "1 action",
  "Type" : "Concentration",
  "Description" : "Jusqu'à 3 cibles doivent réussir un JdS de Cha. ou soustraire 1d4 à l'attaque ou à la sauvegarde (+1 créature/niv).",
  "Classes" :["BARD", "CLERK"]
   }</v>
      </c>
    </row>
    <row r="81" spans="1:13">
      <c r="A81">
        <v>1</v>
      </c>
      <c r="B81" t="s">
        <v>1693</v>
      </c>
      <c r="D81" t="s">
        <v>1694</v>
      </c>
      <c r="E81" t="s">
        <v>1109</v>
      </c>
      <c r="F81" t="s">
        <v>1086</v>
      </c>
      <c r="G81" t="s">
        <v>1073</v>
      </c>
      <c r="I81" t="s">
        <v>1695</v>
      </c>
      <c r="J81" t="s">
        <v>1088</v>
      </c>
      <c r="K81" s="216" t="s">
        <v>5642</v>
      </c>
      <c r="M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v>
      </c>
    </row>
    <row r="82" spans="1:13">
      <c r="A82">
        <v>1</v>
      </c>
      <c r="B82" t="s">
        <v>1710</v>
      </c>
      <c r="D82" t="s">
        <v>1711</v>
      </c>
      <c r="E82" t="s">
        <v>1085</v>
      </c>
      <c r="F82" t="s">
        <v>1151</v>
      </c>
      <c r="G82" t="s">
        <v>1073</v>
      </c>
      <c r="I82" t="s">
        <v>1712</v>
      </c>
      <c r="J82" t="s">
        <v>1082</v>
      </c>
      <c r="K82" s="216" t="s">
        <v>2941</v>
      </c>
      <c r="M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v>
      </c>
    </row>
    <row r="83" spans="1:13">
      <c r="A83">
        <v>1</v>
      </c>
      <c r="B83" t="s">
        <v>1713</v>
      </c>
      <c r="C83" t="s">
        <v>1714</v>
      </c>
      <c r="D83" t="s">
        <v>1715</v>
      </c>
      <c r="E83" t="s">
        <v>1098</v>
      </c>
      <c r="F83" t="s">
        <v>1151</v>
      </c>
      <c r="G83" t="s">
        <v>1073</v>
      </c>
      <c r="I83" t="s">
        <v>1716</v>
      </c>
      <c r="J83" t="s">
        <v>1148</v>
      </c>
      <c r="K83" s="216" t="s">
        <v>2941</v>
      </c>
      <c r="M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v>
      </c>
    </row>
    <row r="84" spans="1:13">
      <c r="A84">
        <v>1</v>
      </c>
      <c r="B84" t="s">
        <v>1717</v>
      </c>
      <c r="D84" t="s">
        <v>1718</v>
      </c>
      <c r="E84" t="s">
        <v>1121</v>
      </c>
      <c r="F84" t="s">
        <v>1086</v>
      </c>
      <c r="G84" t="s">
        <v>1073</v>
      </c>
      <c r="I84" t="s">
        <v>1719</v>
      </c>
      <c r="J84" t="s">
        <v>1082</v>
      </c>
      <c r="K84" s="216" t="s">
        <v>3924</v>
      </c>
      <c r="M84" t="str">
        <f t="shared" si="1"/>
        <v>"Frayeur": {
  "Name" : "Frayeur",
  "OV" : "Cause Fear",
  "Level" : 1,
  "BBE" : "",
  "School" : "Nécromancie",
  "Incantation" : "1 action",
  "Type" : "Concentration",
  "Description" : "La cible doit réussir un JdS de Sag. ou être effrayée (nbre de cibles/niv).",
  "Classes" :[ "MAGICIAN", "OCCULT_KNIGHT", "ARCANE_SWINDLER", "WIZARD"]
   }</v>
      </c>
    </row>
    <row r="85" spans="1:13">
      <c r="A85">
        <v>1</v>
      </c>
      <c r="B85" t="s">
        <v>1748</v>
      </c>
      <c r="D85" t="s">
        <v>1749</v>
      </c>
      <c r="E85" t="s">
        <v>1098</v>
      </c>
      <c r="F85" t="s">
        <v>1086</v>
      </c>
      <c r="I85" t="s">
        <v>1750</v>
      </c>
      <c r="J85" t="s">
        <v>1088</v>
      </c>
      <c r="K85" s="216" t="s">
        <v>5983</v>
      </c>
      <c r="M85" t="str">
        <f t="shared" si="1"/>
        <v>"Graisse": {
  "Name" : "Graisse",
  "OV" : "Grease",
  "Level" : 1,
  "BBE" : "",
  "School" : "Invocation",
  "Incantation" : "1 action",
  "Type" : "",
  "Description" : "Les créatures dans un carré de 3 m (terrain difficile) doivent réussir un JdS de Dex. pour ne pas tomber.",
  "Classes" :["ARTIFICER", "MAGICIAN", "OCCULT_KNIGHT", "ARCANE_SWINDLER"]
   }</v>
      </c>
    </row>
    <row r="86" spans="1:13">
      <c r="A86">
        <v>1</v>
      </c>
      <c r="B86" t="s">
        <v>1751</v>
      </c>
      <c r="D86" t="s">
        <v>1752</v>
      </c>
      <c r="E86" t="s">
        <v>1085</v>
      </c>
      <c r="F86" t="s">
        <v>1086</v>
      </c>
      <c r="I86" t="s">
        <v>1753</v>
      </c>
      <c r="J86" t="s">
        <v>1088</v>
      </c>
      <c r="K86" s="216" t="s">
        <v>5984</v>
      </c>
      <c r="M86" t="str">
        <f t="shared" si="1"/>
        <v>"Grande foulée": {
  "Name" : "Grande foulée",
  "OV" : "Longstrider",
  "Level" : 1,
  "BBE" : "",
  "School" : "Transmutation",
  "Incantation" : "1 action",
  "Type" : "",
  "Description" : "La cible obtient une vitesse augmentée de 3 m (+1 créature/niv).",
  "Classes" :["ARTIFICER", "BARD", "DRUID", "MAGICIAN", "OCCULT_KNIGHT", "ARCANE_SWINDLER", "PROWLER"]
   }</v>
      </c>
    </row>
    <row r="87" spans="1:13">
      <c r="A87">
        <v>1</v>
      </c>
      <c r="B87" t="s">
        <v>1754</v>
      </c>
      <c r="D87" t="s">
        <v>1755</v>
      </c>
      <c r="E87" t="s">
        <v>1098</v>
      </c>
      <c r="F87" t="s">
        <v>1151</v>
      </c>
      <c r="G87" t="s">
        <v>1073</v>
      </c>
      <c r="I87" t="s">
        <v>1756</v>
      </c>
      <c r="J87" t="s">
        <v>1148</v>
      </c>
      <c r="K87" s="216" t="s">
        <v>2941</v>
      </c>
      <c r="M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row>
    <row r="88" spans="1:13">
      <c r="A88">
        <v>1</v>
      </c>
      <c r="B88" t="s">
        <v>1766</v>
      </c>
      <c r="D88" t="s">
        <v>1767</v>
      </c>
      <c r="E88" t="s">
        <v>1109</v>
      </c>
      <c r="F88" t="s">
        <v>1086</v>
      </c>
      <c r="G88" t="s">
        <v>1073</v>
      </c>
      <c r="I88" t="s">
        <v>1768</v>
      </c>
      <c r="J88" t="s">
        <v>1088</v>
      </c>
      <c r="K88" s="216" t="s">
        <v>2935</v>
      </c>
      <c r="M88" t="str">
        <f t="shared" si="1"/>
        <v>"Héroïsme": {
  "Name" : "Héroïsme",
  "OV" : "Heroism",
  "Level" : 1,
  "BBE" : "",
  "School" : "Enchantement",
  "Incantation" : "1 action",
  "Type" : "Concentration",
  "Description" : "La cible est immunisée contre la condition effrayé et gagne Mod.Carac.Inc pv temporaires/round (+1 créatures/niv).",
  "Classes" :["BARD", "PALADIN"]
   }</v>
      </c>
    </row>
    <row r="89" spans="1:13">
      <c r="A89">
        <v>1</v>
      </c>
      <c r="B89" t="s">
        <v>1772</v>
      </c>
      <c r="D89" t="s">
        <v>1773</v>
      </c>
      <c r="E89" t="s">
        <v>1179</v>
      </c>
      <c r="F89" t="s">
        <v>1094</v>
      </c>
      <c r="H89" t="s">
        <v>1074</v>
      </c>
      <c r="I89" t="s">
        <v>1774</v>
      </c>
      <c r="J89" t="s">
        <v>1088</v>
      </c>
      <c r="K89" s="216" t="s">
        <v>5985</v>
      </c>
      <c r="M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"Classes" :["ARTIFICER", "BARD", "MAGICIAN", "OCCULT_KNIGHT", "ARCANE_SWINDLER"]
   }</v>
      </c>
    </row>
    <row r="90" spans="1:13">
      <c r="A90">
        <v>1</v>
      </c>
      <c r="B90" t="s">
        <v>1787</v>
      </c>
      <c r="D90" t="s">
        <v>1788</v>
      </c>
      <c r="E90" t="s">
        <v>1128</v>
      </c>
      <c r="F90" t="s">
        <v>1086</v>
      </c>
      <c r="G90" t="s">
        <v>1073</v>
      </c>
      <c r="I90" t="s">
        <v>1789</v>
      </c>
      <c r="J90" t="s">
        <v>1088</v>
      </c>
      <c r="K90" s="216" t="s">
        <v>3920</v>
      </c>
      <c r="M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"OCCULT_KNIGHT", "ARCANE_SWINDLER"]
   }</v>
      </c>
    </row>
    <row r="91" spans="1:13">
      <c r="A91">
        <v>1</v>
      </c>
      <c r="B91" t="s">
        <v>1801</v>
      </c>
      <c r="D91" t="s">
        <v>1802</v>
      </c>
      <c r="E91" t="s">
        <v>1109</v>
      </c>
      <c r="F91" t="s">
        <v>1086</v>
      </c>
      <c r="I91" t="s">
        <v>1803</v>
      </c>
      <c r="J91" t="s">
        <v>1088</v>
      </c>
      <c r="K91" s="216" t="s">
        <v>5635</v>
      </c>
      <c r="M91" t="str">
        <f t="shared" si="1"/>
        <v>"Injonction": {
  "Name" : "Injonction",
  "OV" : "Command",
  "Level" : 1,
  "BBE" : "",
  "School" : "Enchantement",
  "Incantation" : "1 action",
  "Type" : "",
  "Description" : "La cible doit réussir un JdS de Sag. ou suivre votre ordre comme Approche, Lâche, Fuis, Tombe, Halte, etc (+1 créature/niv).",
  "Classes" :["CLERK", "PALADIN", "FIENDISH"]
   }</v>
      </c>
    </row>
    <row r="92" spans="1:13">
      <c r="A92">
        <v>1</v>
      </c>
      <c r="B92" t="s">
        <v>1896</v>
      </c>
      <c r="C92" t="s">
        <v>1897</v>
      </c>
      <c r="D92" t="s">
        <v>1898</v>
      </c>
      <c r="E92" t="s">
        <v>1179</v>
      </c>
      <c r="F92" t="s">
        <v>1086</v>
      </c>
      <c r="G92" t="s">
        <v>1073</v>
      </c>
      <c r="I92" t="s">
        <v>1899</v>
      </c>
      <c r="J92" t="s">
        <v>1082</v>
      </c>
      <c r="K92" s="216" t="s">
        <v>2939</v>
      </c>
      <c r="M92" t="str">
        <f t="shared" si="1"/>
        <v>"Lien avec une bête": {
  "Name" : "Lien avec une bête",
  "OV" : "Beast Bond",
  "Level" : 1,
  "BBE" : "Lien avec les bêtes",
  "School" : "Divination",
  "Incantation" : "1 action",
  "Type" : "Concentration",
  "Description" : "Crée un lien télépathique avec une bête pour pouvoir communiquer avec elle.",
  "Classes" :["DRUID", "PROWLER"]
   }</v>
      </c>
    </row>
    <row r="93" spans="1:13">
      <c r="A93">
        <v>1</v>
      </c>
      <c r="B93" t="s">
        <v>1921</v>
      </c>
      <c r="D93" t="s">
        <v>1922</v>
      </c>
      <c r="E93" t="s">
        <v>1155</v>
      </c>
      <c r="F93" t="s">
        <v>1086</v>
      </c>
      <c r="G93" t="s">
        <v>1073</v>
      </c>
      <c r="I93" t="s">
        <v>1923</v>
      </c>
      <c r="J93" t="s">
        <v>1088</v>
      </c>
      <c r="K93" s="216" t="s">
        <v>5986</v>
      </c>
      <c r="M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"Classes" :["ARTIFICER", "BARD", "DRUID", "ARCHFAIRY"]
   }</v>
      </c>
    </row>
    <row r="94" spans="1:13">
      <c r="A94">
        <v>1</v>
      </c>
      <c r="B94" t="s">
        <v>1943</v>
      </c>
      <c r="D94" t="s">
        <v>1944</v>
      </c>
      <c r="E94" t="s">
        <v>1155</v>
      </c>
      <c r="F94" t="s">
        <v>1086</v>
      </c>
      <c r="I94" t="s">
        <v>1945</v>
      </c>
      <c r="J94" t="s">
        <v>1088</v>
      </c>
      <c r="K94" s="216" t="s">
        <v>5636</v>
      </c>
      <c r="M94" t="str">
        <f t="shared" si="1"/>
        <v>"Mains brûlantes": {
  "Name" : "Mains brûlantes",
  "OV" : "Burning Hands",
  "Level" : 1,
  "BBE" : "",
  "School" : "Évocation",
  "Incantation" : "1 action",
  "Type" : "",
  "Description" : "Les créatures dans un cône de 4,50 m doivent réussir un JdS de Dex. ou subir 3d6 dégâts de feu (dégâts/niv).",
  "Classes" :["SORCERER", "MAGICIAN", "OCCULT_KNIGHT", "ARCANE_SWINDLER", "FIENDISH"]
   }</v>
      </c>
    </row>
    <row r="95" spans="1:13">
      <c r="A95">
        <v>1</v>
      </c>
      <c r="B95" t="s">
        <v>1950</v>
      </c>
      <c r="D95" t="s">
        <v>1951</v>
      </c>
      <c r="E95" t="s">
        <v>1109</v>
      </c>
      <c r="F95" t="s">
        <v>1151</v>
      </c>
      <c r="G95" t="s">
        <v>1073</v>
      </c>
      <c r="I95" t="s">
        <v>1952</v>
      </c>
      <c r="J95" t="s">
        <v>1111</v>
      </c>
      <c r="K95" s="216" t="s">
        <v>2945</v>
      </c>
      <c r="M95" t="str">
        <f t="shared" si="1"/>
        <v>"Maléfice": {
  "Name" : "Maléfice",
  "OV" : "Hex",
  "Level" : 1,
  "BBE" : "",
  "School" : "Enchantement",
  "Incantation" : "1 action bonus",
  "Type" : "Concentration",
  "Description" : "Si une attaque touche, inflige 1d6 dégâts nécrotiques extra. Désavantage à un jet de carac choisi (durée/niv).",
  "Classes" :["WIZARD"]
   }</v>
      </c>
    </row>
    <row r="96" spans="1:13">
      <c r="A96">
        <v>1</v>
      </c>
      <c r="B96" t="s">
        <v>1962</v>
      </c>
      <c r="D96" t="s">
        <v>1963</v>
      </c>
      <c r="E96" t="s">
        <v>1179</v>
      </c>
      <c r="F96" t="s">
        <v>1151</v>
      </c>
      <c r="G96" t="s">
        <v>1073</v>
      </c>
      <c r="I96" t="s">
        <v>1964</v>
      </c>
      <c r="J96" t="s">
        <v>1088</v>
      </c>
      <c r="K96" s="216" t="s">
        <v>2941</v>
      </c>
      <c r="M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v>
      </c>
    </row>
    <row r="97" spans="1:13">
      <c r="A97">
        <v>1</v>
      </c>
      <c r="B97" t="s">
        <v>2014</v>
      </c>
      <c r="D97" t="s">
        <v>2015</v>
      </c>
      <c r="E97" t="s">
        <v>1155</v>
      </c>
      <c r="F97" t="s">
        <v>1151</v>
      </c>
      <c r="I97" t="s">
        <v>2016</v>
      </c>
      <c r="J97" t="s">
        <v>1088</v>
      </c>
      <c r="K97" s="216" t="s">
        <v>2928</v>
      </c>
      <c r="M97" t="str">
        <f t="shared" si="1"/>
        <v>"Mot de guérison": {
  "Name" : "Mot de guérison",
  "OV" : "Healing Word",
  "Level" : 1,
  "BBE" : "",
  "School" : "Évocation",
  "Incantation" : "1 action bonus",
  "Type" : "",
  "Description" : "1 créature récupère 1d4+Mod.Carac pv (+1d4 pv/niv).",
  "Classes" :["BARD", "CLERK", "DRUID"]
   }</v>
      </c>
    </row>
    <row r="98" spans="1:13">
      <c r="A98">
        <v>1</v>
      </c>
      <c r="B98" t="s">
        <v>2072</v>
      </c>
      <c r="D98" t="s">
        <v>2073</v>
      </c>
      <c r="E98" t="s">
        <v>1109</v>
      </c>
      <c r="F98" t="s">
        <v>1086</v>
      </c>
      <c r="I98" t="s">
        <v>2074</v>
      </c>
      <c r="J98" t="s">
        <v>1111</v>
      </c>
      <c r="K98" s="216" t="s">
        <v>5643</v>
      </c>
      <c r="M98" t="str">
        <f t="shared" si="1"/>
        <v>"Murmures dissonants": {
  "Name" : "Murmures dissonants",
  "OV" : "Dissonant Whispers",
  "Level" : 1,
  "BBE" : "",
  "School" : "Enchantement",
  "Incantation" : "1 action",
  "Type" : "",
  "Description" : "La cible doit réussir un JdS de Sag. ou subir 3d6 dégâts psychiques et s'éloigner (dégâts/niv).",
  "Classes" :["BARD", "GREAT_OLD"]
   }</v>
      </c>
    </row>
    <row r="99" spans="1:13">
      <c r="A99">
        <v>1</v>
      </c>
      <c r="B99" t="s">
        <v>2075</v>
      </c>
      <c r="D99" t="s">
        <v>2076</v>
      </c>
      <c r="E99" t="s">
        <v>1098</v>
      </c>
      <c r="F99" t="s">
        <v>1086</v>
      </c>
      <c r="G99" t="s">
        <v>1073</v>
      </c>
      <c r="I99" t="s">
        <v>2077</v>
      </c>
      <c r="J99" t="s">
        <v>1088</v>
      </c>
      <c r="K99" s="216" t="s">
        <v>3925</v>
      </c>
      <c r="M99" t="str">
        <f t="shared" si="1"/>
        <v>"Nappe de brouillard": {
  "Name" : "Nappe de brouillard",
  "OV" : "Fog Cloud",
  "Level" : 1,
  "BBE" : "",
  "School" : "Invocation",
  "Incantation" : "1 action",
  "Type" : "Concentration",
  "Description" : "Rend la visibilité nulle dans une sphère de 6 m de rayon (+6 m/niv).",
  "Classes" :["DRUID", "SORCERER", "MAGICIAN", "OCCULT_KNIGHT", "ARCANE_SWINDLER", "PROWLER"]
   }</v>
      </c>
    </row>
    <row r="100" spans="1:13">
      <c r="A100">
        <v>1</v>
      </c>
      <c r="B100" t="s">
        <v>2105</v>
      </c>
      <c r="C100" t="s">
        <v>2106</v>
      </c>
      <c r="D100" t="s">
        <v>2107</v>
      </c>
      <c r="E100" t="s">
        <v>1155</v>
      </c>
      <c r="F100" t="s">
        <v>1086</v>
      </c>
      <c r="I100" t="s">
        <v>2108</v>
      </c>
      <c r="J100" t="s">
        <v>1088</v>
      </c>
      <c r="K100" s="216" t="s">
        <v>3926</v>
      </c>
      <c r="M100" t="str">
        <f t="shared" si="1"/>
        <v>"Onde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"OCCULT_KNIGHT", "ARCANE_SWINDLER"]
   }</v>
      </c>
    </row>
    <row r="101" spans="1:13">
      <c r="A101">
        <v>1</v>
      </c>
      <c r="B101" t="s">
        <v>2109</v>
      </c>
      <c r="D101" t="s">
        <v>2110</v>
      </c>
      <c r="E101" t="s">
        <v>1155</v>
      </c>
      <c r="F101" t="s">
        <v>1086</v>
      </c>
      <c r="I101" t="s">
        <v>2111</v>
      </c>
      <c r="J101" t="s">
        <v>1111</v>
      </c>
      <c r="K101" s="216" t="s">
        <v>3914</v>
      </c>
      <c r="M101" t="str">
        <f t="shared" si="1"/>
        <v>"Orbe chromatique": {
  "Name" : "Orbe chromatique",
  "OV" : "Chromatic Orb",
  "Level" : 1,
  "BBE" : "",
  "School" : "Évocation",
  "Incantation" : "1 action",
  "Type" : "",
  "Description" : "Si l'attaque avec un sort touche, inflige 3d8 dégâts d'un type préalablement déterminé (dégâts/niv).",
  "Classes" :["SORCERER", "MAGICIAN", "OCCULT_KNIGHT", "ARCANE_SWINDLER"]
   }</v>
      </c>
    </row>
    <row r="102" spans="1:13">
      <c r="A102">
        <v>1</v>
      </c>
      <c r="B102" t="s">
        <v>2199</v>
      </c>
      <c r="D102" t="s">
        <v>2200</v>
      </c>
      <c r="E102" t="s">
        <v>1155</v>
      </c>
      <c r="F102" t="s">
        <v>1086</v>
      </c>
      <c r="I102" t="s">
        <v>2201</v>
      </c>
      <c r="J102" t="s">
        <v>1088</v>
      </c>
      <c r="K102" s="216" t="s">
        <v>3914</v>
      </c>
      <c r="M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"OCCULT_KNIGHT", "ARCANE_SWINDLER"]
   }</v>
      </c>
    </row>
    <row r="103" spans="1:13">
      <c r="A103">
        <v>1</v>
      </c>
      <c r="B103" t="s">
        <v>2212</v>
      </c>
      <c r="D103" t="s">
        <v>2213</v>
      </c>
      <c r="E103" t="s">
        <v>1079</v>
      </c>
      <c r="F103" t="s">
        <v>1086</v>
      </c>
      <c r="G103" t="s">
        <v>1073</v>
      </c>
      <c r="I103" t="s">
        <v>2214</v>
      </c>
      <c r="J103" t="s">
        <v>1088</v>
      </c>
      <c r="K103" s="216" t="s">
        <v>3927</v>
      </c>
      <c r="M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"OCCULT_KNIGHT", "ARCANE_SWINDLER", "PALADIN", "WIZARD"]
   }</v>
      </c>
    </row>
    <row r="104" spans="1:13">
      <c r="A104">
        <v>1</v>
      </c>
      <c r="B104" t="s">
        <v>2231</v>
      </c>
      <c r="C104" t="s">
        <v>2232</v>
      </c>
      <c r="D104" t="s">
        <v>2233</v>
      </c>
      <c r="E104" t="s">
        <v>1085</v>
      </c>
      <c r="F104" t="s">
        <v>1086</v>
      </c>
      <c r="H104" t="s">
        <v>1074</v>
      </c>
      <c r="I104" t="s">
        <v>2234</v>
      </c>
      <c r="J104" t="s">
        <v>1088</v>
      </c>
      <c r="K104" s="216" t="s">
        <v>5987</v>
      </c>
      <c r="M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:["ARTIFICER", "CLERK", "DRUID", "PALADIN"]
   }</v>
      </c>
    </row>
    <row r="105" spans="1:13">
      <c r="A105">
        <v>1</v>
      </c>
      <c r="B105" t="s">
        <v>2260</v>
      </c>
      <c r="D105" t="s">
        <v>2261</v>
      </c>
      <c r="E105" t="s">
        <v>1121</v>
      </c>
      <c r="F105" t="s">
        <v>1086</v>
      </c>
      <c r="I105" t="s">
        <v>2262</v>
      </c>
      <c r="J105" t="s">
        <v>1148</v>
      </c>
      <c r="K105" s="216" t="s">
        <v>3914</v>
      </c>
      <c r="M105" t="str">
        <f t="shared" si="1"/>
        <v>"Rayon empoisonné": {
  "Name" : "Rayon empoisonné",
  "OV" : "Ray of Sickness",
  "Level" : 1,
  "BBE" : "",
  "School" : "Nécromancie",
  "Incantation" : "1 action",
  "Type" : "",
  "Description" : "Si l'attaque touche, inflige 2d8 dégâts de poison (dégâts/niv) et la cible peut être empoisonnée (JdS de Con).",
  "Classes" :["SORCERER", "MAGICIAN", "OCCULT_KNIGHT", "ARCANE_SWINDLER"]
   }</v>
      </c>
    </row>
    <row r="106" spans="1:13">
      <c r="A106">
        <v>1</v>
      </c>
      <c r="B106" t="s">
        <v>2286</v>
      </c>
      <c r="D106" t="s">
        <v>2287</v>
      </c>
      <c r="E106" t="s">
        <v>1085</v>
      </c>
      <c r="F106" t="s">
        <v>1151</v>
      </c>
      <c r="G106" t="s">
        <v>1073</v>
      </c>
      <c r="I106" t="s">
        <v>2288</v>
      </c>
      <c r="J106" t="s">
        <v>1088</v>
      </c>
      <c r="K106" s="216" t="s">
        <v>5988</v>
      </c>
      <c r="M106" t="str">
        <f t="shared" si="1"/>
        <v>"Repli expéditif": {
  "Name" : "Repli expéditif",
  "OV" : "Expeditious Retreat",
  "Level" : 1,
  "BBE" : "",
  "School" : "Transmutation",
  "Incantation" : "1 action bonus",
  "Type" : "Concentration",
  "Description" : "Le lanceur peut effectuer l'action Foncer en utilisant une action bonus.",
  "Classes" :["ARTIFICER", "SORCERER", "MAGICIAN", "OCCULT_KNIGHT", "ARCANE_SWINDLER", "WIZARD"]
   }</v>
      </c>
    </row>
    <row r="107" spans="1:13">
      <c r="A107">
        <v>1</v>
      </c>
      <c r="B107" t="s">
        <v>2289</v>
      </c>
      <c r="D107" t="s">
        <v>2290</v>
      </c>
      <c r="E107" t="s">
        <v>1155</v>
      </c>
      <c r="F107" t="s">
        <v>1080</v>
      </c>
      <c r="I107" t="s">
        <v>2291</v>
      </c>
      <c r="J107" t="s">
        <v>1088</v>
      </c>
      <c r="K107" s="216" t="s">
        <v>2945</v>
      </c>
      <c r="M107" t="str">
        <f t="shared" si="1"/>
        <v>"Représailles infernales": {
  "Name" : "Représailles infernales",
  "OV" : "Hellish Rebuke",
  "Level" : 1,
  "BBE" : "",
  "School" : "Évocation",
  "Incantation" : "1 réaction",
  "Type" : "",
  "Description" : "La cible doit réussir un JdS de Dex. ou subir 2d10 dégâts de feu (dégâts/niv).",
  "Classes" :["WIZARD"]
   }</v>
      </c>
    </row>
    <row r="108" spans="1:13">
      <c r="A108">
        <v>1</v>
      </c>
      <c r="B108" t="s">
        <v>2332</v>
      </c>
      <c r="D108" t="s">
        <v>2333</v>
      </c>
      <c r="E108" t="s">
        <v>1079</v>
      </c>
      <c r="F108" t="s">
        <v>1151</v>
      </c>
      <c r="I108" t="s">
        <v>2334</v>
      </c>
      <c r="J108" t="s">
        <v>1088</v>
      </c>
      <c r="K108" s="216" t="s">
        <v>5979</v>
      </c>
      <c r="M108" t="str">
        <f t="shared" si="1"/>
        <v>"Sanctuaire": {
  "Name" : "Sanctuaire",
  "OV" : "Sanctuary",
  "Level" : 1,
  "BBE" : "",
  "School" : "Abjuration",
  "Incantation" : "1 action bonus",
  "Type" : "",
  "Description" : "La cible a droit à un JdS de Sag. pour éviter les attaques ou les sorts ofensifs qui la visent en particulier.",
  "Classes" :["ARTIFICER", "CLERK"]
   }</v>
      </c>
    </row>
    <row r="109" spans="1:13">
      <c r="A109">
        <v>1</v>
      </c>
      <c r="B109" t="s">
        <v>2338</v>
      </c>
      <c r="D109" t="s">
        <v>2339</v>
      </c>
      <c r="E109" t="s">
        <v>1085</v>
      </c>
      <c r="F109" t="s">
        <v>1086</v>
      </c>
      <c r="I109" t="s">
        <v>2340</v>
      </c>
      <c r="J109" t="s">
        <v>1088</v>
      </c>
      <c r="K109" s="216" t="s">
        <v>5989</v>
      </c>
      <c r="M109" t="str">
        <f t="shared" si="1"/>
        <v>"Saut": {
  "Name" : "Saut",
  "OV" : "Jump",
  "Level" : 1,
  "BBE" : "",
  "School" : "Transmutation",
  "Incantation" : "1 action",
  "Type" : "",
  "Description" : "La cible obtient une distance de saut multipliée par 3.",
  "Classes" :["ARTIFICER", "DRUID", "SORCERER", "MAGICIAN", "OCCULT_KNIGHT", "ARCANE_SWINDLER", "PROWLER"]
   }</v>
      </c>
    </row>
    <row r="110" spans="1:13">
      <c r="A110">
        <v>1</v>
      </c>
      <c r="B110" t="s">
        <v>2347</v>
      </c>
      <c r="D110" t="s">
        <v>2348</v>
      </c>
      <c r="E110" t="s">
        <v>1155</v>
      </c>
      <c r="F110" t="s">
        <v>1086</v>
      </c>
      <c r="I110" t="s">
        <v>2349</v>
      </c>
      <c r="J110" t="s">
        <v>1082</v>
      </c>
      <c r="K110" s="216" t="s">
        <v>3926</v>
      </c>
      <c r="M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"OCCULT_KNIGHT", "ARCANE_SWINDLER"]
   }</v>
      </c>
    </row>
    <row r="111" spans="1:13">
      <c r="A111">
        <v>1</v>
      </c>
      <c r="B111" t="s">
        <v>2361</v>
      </c>
      <c r="D111" t="s">
        <v>2362</v>
      </c>
      <c r="E111" t="s">
        <v>1098</v>
      </c>
      <c r="F111" t="s">
        <v>1086</v>
      </c>
      <c r="H111" t="s">
        <v>1074</v>
      </c>
      <c r="I111" t="s">
        <v>2363</v>
      </c>
      <c r="J111" t="s">
        <v>1088</v>
      </c>
      <c r="K111" s="216" t="s">
        <v>3928</v>
      </c>
      <c r="M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"OCCULT_KNIGHT", "ARCANE_SWINDLER", "WIZARD"]
   }</v>
      </c>
    </row>
    <row r="112" spans="1:13">
      <c r="A112">
        <v>1</v>
      </c>
      <c r="B112" t="s">
        <v>2376</v>
      </c>
      <c r="D112" t="s">
        <v>2377</v>
      </c>
      <c r="E112" t="s">
        <v>1121</v>
      </c>
      <c r="F112" t="s">
        <v>1086</v>
      </c>
      <c r="I112" t="s">
        <v>2378</v>
      </c>
      <c r="J112" t="s">
        <v>1088</v>
      </c>
      <c r="K112" s="216" t="s">
        <v>5967</v>
      </c>
      <c r="M112" t="str">
        <f t="shared" si="1"/>
        <v>"Simulacre de vie": {
  "Name" : "Simulacre de vie",
  "OV" : "False Life",
  "Level" : 1,
  "BBE" : "",
  "School" : "Nécromancie",
  "Incantation" : "1 action",
  "Type" : "",
  "Description" : "Le lanceur gagne 1d4+4 pv temporaires (+5 pv/niv).",
  "Classes" :["ARTIFICER", "SORCERER", "MAGICIAN", "OCCULT_KNIGHT", "ARCANE_SWINDLER"]
   }</v>
      </c>
    </row>
    <row r="113" spans="1:13">
      <c r="A113">
        <v>1</v>
      </c>
      <c r="B113" t="s">
        <v>2379</v>
      </c>
      <c r="C113" t="s">
        <v>2380</v>
      </c>
      <c r="D113" t="s">
        <v>2381</v>
      </c>
      <c r="E113" t="s">
        <v>1155</v>
      </c>
      <c r="F113" t="s">
        <v>1086</v>
      </c>
      <c r="I113" t="s">
        <v>2382</v>
      </c>
      <c r="J113" t="s">
        <v>1088</v>
      </c>
      <c r="K113" s="216" t="s">
        <v>5990</v>
      </c>
      <c r="M113" t="str">
        <f t="shared" si="1"/>
        <v>"Soins": {
  "Name" : "Soins",
  "OV" : "Cure Wounds",
  "Level" : 1,
  "BBE" : "Soin des blessures",
  "School" : "Évocation",
  "Incantation" : "1 action",
  "Type" : "",
  "Description" : "1 créature récupère 1d8+Mod.Carac pv (+1d8 pv/niv).",
  "Classes" :["ARTIFICER", "BARD", "CLERK", "DRUID", "PALADIN", "PROWLER"]
   }</v>
      </c>
    </row>
    <row r="114" spans="1:13">
      <c r="A114">
        <v>1</v>
      </c>
      <c r="B114" t="s">
        <v>2387</v>
      </c>
      <c r="D114" t="s">
        <v>2388</v>
      </c>
      <c r="E114" t="s">
        <v>1109</v>
      </c>
      <c r="F114" t="s">
        <v>1086</v>
      </c>
      <c r="I114" t="s">
        <v>2389</v>
      </c>
      <c r="J114" t="s">
        <v>1088</v>
      </c>
      <c r="K114" s="216" t="s">
        <v>5632</v>
      </c>
      <c r="M114" t="str">
        <f t="shared" si="1"/>
        <v>"Sommeil": {
  "Name" : "Sommeil",
  "OV" : "Sleep",
  "Level" : 1,
  "BBE" : "",
  "School" : "Enchantement",
  "Incantation" : "1 action",
  "Type" : "",
  "Description" : "5d8 pv de créatures s'endorment, par ordre croissant de leurs pv actuels (+2d8 pv/niv).",
  "Classes" :["BARD", "SORCERER", "MAGICIAN", "OCCULT_KNIGHT", "ARCANE_SWINDLER", "ARCHFAIRY"]
   }</v>
      </c>
    </row>
    <row r="115" spans="1:13">
      <c r="A115">
        <v>1</v>
      </c>
      <c r="B115" t="s">
        <v>2457</v>
      </c>
      <c r="C115" t="s">
        <v>2458</v>
      </c>
      <c r="D115" t="s">
        <v>2459</v>
      </c>
      <c r="E115" t="s">
        <v>1098</v>
      </c>
      <c r="F115" t="s">
        <v>1086</v>
      </c>
      <c r="I115" t="s">
        <v>2460</v>
      </c>
      <c r="J115" t="s">
        <v>1148</v>
      </c>
      <c r="K115" s="216" t="s">
        <v>2945</v>
      </c>
      <c r="M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v>
      </c>
    </row>
    <row r="116" spans="1:13">
      <c r="A116">
        <v>1</v>
      </c>
      <c r="B116" t="s">
        <v>2471</v>
      </c>
      <c r="D116" t="s">
        <v>2472</v>
      </c>
      <c r="E116" t="s">
        <v>1128</v>
      </c>
      <c r="F116" t="s">
        <v>1094</v>
      </c>
      <c r="H116" t="s">
        <v>1074</v>
      </c>
      <c r="I116" t="s">
        <v>2473</v>
      </c>
      <c r="J116" t="s">
        <v>1088</v>
      </c>
      <c r="K116" s="216" t="s">
        <v>3928</v>
      </c>
      <c r="M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"OCCULT_KNIGHT", "ARCANE_SWINDLER", "WIZARD"]
   }</v>
      </c>
    </row>
    <row r="117" spans="1:13">
      <c r="A117">
        <v>2</v>
      </c>
      <c r="B117" s="88" t="s">
        <v>2949</v>
      </c>
      <c r="C117" t="s">
        <v>1083</v>
      </c>
      <c r="D117" t="s">
        <v>1084</v>
      </c>
      <c r="E117" t="s">
        <v>1085</v>
      </c>
      <c r="F117" t="s">
        <v>1086</v>
      </c>
      <c r="G117" t="s">
        <v>1073</v>
      </c>
      <c r="I117" t="s">
        <v>1087</v>
      </c>
      <c r="J117" t="s">
        <v>1088</v>
      </c>
      <c r="K117" s="216" t="s">
        <v>5967</v>
      </c>
      <c r="M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"Classes" :["ARTIFICER", "SORCERER", "MAGICIAN", "OCCULT_KNIGHT", "ARCANE_SWINDLER"]
   }</v>
      </c>
    </row>
    <row r="118" spans="1:13">
      <c r="A118">
        <v>2</v>
      </c>
      <c r="B118" t="s">
        <v>1089</v>
      </c>
      <c r="D118" t="s">
        <v>1090</v>
      </c>
      <c r="E118" t="s">
        <v>1079</v>
      </c>
      <c r="F118" t="s">
        <v>1086</v>
      </c>
      <c r="I118" t="s">
        <v>1091</v>
      </c>
      <c r="J118" t="s">
        <v>1088</v>
      </c>
      <c r="K118" s="216" t="s">
        <v>5991</v>
      </c>
      <c r="M118" t="str">
        <f t="shared" si="1"/>
        <v>"Aide": {
  "Name" : "Aide",
  "OV" : "Aid",
  "Level" : 2,
  "BBE" : "",
  "School" : "Abjuration",
  "Incantation" : "1 action",
  "Type" : "",
  "Description" : "Jusqu'à 3 créatures augmentent leurs pv actuels et pv max de 5 (+5 pv/niv).",
  "Classes" :["ARTIFICER", "CLERK", "PALADIN"]
   }</v>
      </c>
    </row>
    <row r="119" spans="1:13">
      <c r="A119">
        <v>2</v>
      </c>
      <c r="B119" t="s">
        <v>1101</v>
      </c>
      <c r="D119" t="s">
        <v>1102</v>
      </c>
      <c r="E119" t="s">
        <v>1085</v>
      </c>
      <c r="F119" t="s">
        <v>1086</v>
      </c>
      <c r="G119" t="s">
        <v>1073</v>
      </c>
      <c r="I119" t="s">
        <v>1103</v>
      </c>
      <c r="J119" t="s">
        <v>1088</v>
      </c>
      <c r="K119" s="216" t="s">
        <v>5992</v>
      </c>
      <c r="M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:["ARTIFICER", "BARD", "CLERK", "DRUID", "SORCERER"]
   }</v>
      </c>
    </row>
    <row r="120" spans="1:13">
      <c r="A120">
        <v>2</v>
      </c>
      <c r="B120" t="s">
        <v>1123</v>
      </c>
      <c r="D120" t="s">
        <v>1124</v>
      </c>
      <c r="E120" t="s">
        <v>1109</v>
      </c>
      <c r="F120" t="s">
        <v>1086</v>
      </c>
      <c r="G120" t="s">
        <v>1073</v>
      </c>
      <c r="I120" t="s">
        <v>1125</v>
      </c>
      <c r="J120" t="s">
        <v>1088</v>
      </c>
      <c r="K120" s="216" t="s">
        <v>5633</v>
      </c>
      <c r="M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"ARCHFAIRY"]
   }</v>
      </c>
    </row>
    <row r="121" spans="1:13">
      <c r="A121">
        <v>2</v>
      </c>
      <c r="B121" t="s">
        <v>1137</v>
      </c>
      <c r="C121" t="s">
        <v>1138</v>
      </c>
      <c r="D121" t="s">
        <v>1139</v>
      </c>
      <c r="E121" t="s">
        <v>1098</v>
      </c>
      <c r="F121" t="s">
        <v>1099</v>
      </c>
      <c r="I121" t="s">
        <v>1140</v>
      </c>
      <c r="J121" t="s">
        <v>1088</v>
      </c>
      <c r="K121" s="216" t="s">
        <v>2934</v>
      </c>
      <c r="M121" t="str">
        <f t="shared" si="1"/>
        <v>"Appel de monture": {
  "Name" : "Appel de monture",
  "OV" : "Find Steed",
  "Level" : 2,
  "BBE" : "Trouver une monture",
  "School" : "Invocation",
  "Incantation" : "10 minutes",
  "Type" : "",
  "Description" : "Invoque un esprit sous la forme d'un destrier (cheval, élan, etc) lié par télépathie au lanceur.",
  "Classes" :["PALADIN"]
   }</v>
      </c>
    </row>
    <row r="122" spans="1:13">
      <c r="A122">
        <v>2</v>
      </c>
      <c r="B122" t="s">
        <v>1149</v>
      </c>
      <c r="D122" t="s">
        <v>1150</v>
      </c>
      <c r="E122" t="s">
        <v>1085</v>
      </c>
      <c r="F122" t="s">
        <v>1151</v>
      </c>
      <c r="G122" t="s">
        <v>1073</v>
      </c>
      <c r="I122" t="s">
        <v>1152</v>
      </c>
      <c r="J122" t="s">
        <v>1088</v>
      </c>
      <c r="K122" s="216" t="s">
        <v>5993</v>
      </c>
      <c r="M122" t="str">
        <f t="shared" si="1"/>
        <v>"Arme magique": {
  "Name" : "Arme magique",
  "OV" : "Magic Weapon",
  "Level" : 2,
  "BBE" : "",
  "School" : "Transmutation",
  "Incantation" : "1 action bonus",
  "Type" : "Concentration",
  "Description" : "Transforme une arme en arme magique +1 à l'attaque et aux dégâts (bonus de +2 ou +3/niv).",
  "Classes" :["ARTIFICER", "MAGICIAN", "OCCULT_KNIGHT", "ARCANE_SWINDLER", "PALADIN"]
   }</v>
      </c>
    </row>
    <row r="123" spans="1:13">
      <c r="A123">
        <v>2</v>
      </c>
      <c r="B123" t="s">
        <v>1157</v>
      </c>
      <c r="D123" t="s">
        <v>1158</v>
      </c>
      <c r="E123" t="s">
        <v>1155</v>
      </c>
      <c r="F123" t="s">
        <v>1151</v>
      </c>
      <c r="I123" t="s">
        <v>1159</v>
      </c>
      <c r="J123" t="s">
        <v>1088</v>
      </c>
      <c r="K123" s="216" t="s">
        <v>2921</v>
      </c>
      <c r="M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v>
      </c>
    </row>
    <row r="124" spans="1:13">
      <c r="A124">
        <v>2</v>
      </c>
      <c r="B124" t="s">
        <v>1181</v>
      </c>
      <c r="D124" t="s">
        <v>1182</v>
      </c>
      <c r="E124" t="s">
        <v>1085</v>
      </c>
      <c r="F124" t="s">
        <v>1086</v>
      </c>
      <c r="G124" t="s">
        <v>1073</v>
      </c>
      <c r="I124" t="s">
        <v>1183</v>
      </c>
      <c r="J124" t="s">
        <v>1082</v>
      </c>
      <c r="K124" s="216" t="s">
        <v>2947</v>
      </c>
      <c r="M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v>
      </c>
    </row>
    <row r="125" spans="1:13">
      <c r="A125">
        <v>2</v>
      </c>
      <c r="B125" t="s">
        <v>1187</v>
      </c>
      <c r="D125" t="s">
        <v>1188</v>
      </c>
      <c r="E125" t="s">
        <v>1179</v>
      </c>
      <c r="F125" t="s">
        <v>1094</v>
      </c>
      <c r="H125" t="s">
        <v>1074</v>
      </c>
      <c r="I125" t="s">
        <v>1189</v>
      </c>
      <c r="J125" t="s">
        <v>1088</v>
      </c>
      <c r="K125" s="216" t="s">
        <v>2921</v>
      </c>
      <c r="M125" t="str">
        <f t="shared" si="1"/>
        <v>"Augure": {
  "Name" : "Augure",
  "OV" : "Augury",
  "Level" : 2,
  "BBE" : "",
  "School" : "Divination",
  "Incantation" : "1 minute",
  "Type" : "Rituel",
  "Description" : "Le lanceur obtient un présage concernant le résultat d'une action dans les 30 prochaines min (fortune, péril, les deux ou rien).",
  "Classes" :["CLERK"]
   }</v>
      </c>
    </row>
    <row r="126" spans="1:13">
      <c r="A126">
        <v>2</v>
      </c>
      <c r="B126" t="s">
        <v>1202</v>
      </c>
      <c r="D126" t="s">
        <v>1203</v>
      </c>
      <c r="E126" t="s">
        <v>1128</v>
      </c>
      <c r="F126" t="s">
        <v>1086</v>
      </c>
      <c r="I126" t="s">
        <v>1204</v>
      </c>
      <c r="J126" t="s">
        <v>1088</v>
      </c>
      <c r="K126" s="216" t="s">
        <v>3922</v>
      </c>
      <c r="M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"OCCULT_KNIGHT", "ARCANE_SWINDLER"]
   }</v>
      </c>
    </row>
    <row r="127" spans="1:13">
      <c r="A127">
        <v>2</v>
      </c>
      <c r="B127" t="s">
        <v>1229</v>
      </c>
      <c r="D127" t="s">
        <v>1230</v>
      </c>
      <c r="E127" t="s">
        <v>1128</v>
      </c>
      <c r="F127" t="s">
        <v>1094</v>
      </c>
      <c r="H127" t="s">
        <v>1074</v>
      </c>
      <c r="I127" t="s">
        <v>1231</v>
      </c>
      <c r="J127" t="s">
        <v>1088</v>
      </c>
      <c r="K127" s="216" t="s">
        <v>5985</v>
      </c>
      <c r="M127" t="str">
        <f t="shared" si="1"/>
        <v>"Bouche magique": {
  "Name" : "Bouche magique",
  "OV" : "Magic Mouth",
  "Level" : 2,
  "BBE" : "",
  "School" : "Illusion",
  "Incantation" : "1 minute",
  "Type" : "Rituel",
  "Description" : "Crée une bouche magique qui répétera un message de 25 mots max lorsqu'une condition de déclenchement est remplie.",
  "Classes" :["ARTIFICER", "BARD", "MAGICIAN", "OCCULT_KNIGHT", "ARCANE_SWINDLER"]
   }</v>
      </c>
    </row>
    <row r="128" spans="1:13">
      <c r="A128">
        <v>2</v>
      </c>
      <c r="B128" t="s">
        <v>1246</v>
      </c>
      <c r="D128" t="s">
        <v>1247</v>
      </c>
      <c r="E128" t="s">
        <v>1155</v>
      </c>
      <c r="F128" t="s">
        <v>1086</v>
      </c>
      <c r="G128" t="s">
        <v>1073</v>
      </c>
      <c r="I128" t="s">
        <v>1248</v>
      </c>
      <c r="J128" t="s">
        <v>1088</v>
      </c>
      <c r="K128" s="216" t="s">
        <v>3916</v>
      </c>
      <c r="M128" t="str">
        <f t="shared" si="1"/>
        <v>"Bourrasque": {
  "Name" : "Bourrasque",
  "OV" : "Gust of Wind",
  "Level" : 2,
  "BBE" : "",
  "School" : "Évocation",
  "Incantation" : "1 action",
  "Type" : "Concentration",
  "Description" : "Les créatures sur une ligne de 18 x 3 m doivent réussir un JdS de For. ou être repoussées de 4,50 m.",
  "Classes" :["DRUID", "SORCERER", "MAGICIAN", "OCCULT_KNIGHT", "ARCANE_SWINDLER"]
   }</v>
      </c>
    </row>
    <row r="129" spans="1:13">
      <c r="A129">
        <v>2</v>
      </c>
      <c r="B129" s="88" t="s">
        <v>2950</v>
      </c>
      <c r="D129" t="s">
        <v>1262</v>
      </c>
      <c r="E129" t="s">
        <v>1121</v>
      </c>
      <c r="F129" t="s">
        <v>1086</v>
      </c>
      <c r="I129" t="s">
        <v>1263</v>
      </c>
      <c r="J129" t="s">
        <v>1088</v>
      </c>
      <c r="K129" s="216" t="s">
        <v>5637</v>
      </c>
      <c r="M129" t="str">
        <f t="shared" si="1"/>
        <v>"Cécité-Surdité": {
  "Name" : "Cécité-Surdité",
  "OV" : "Blindness/Deafness",
  "Level" : 2,
  "BBE" : "",
  "School" : "Nécromancie",
  "Incantation" : "1 action",
  "Type" : "",
  "Description" : "La cible doit réussir un JdS de Con. ou devenir aveuglée ou assourdie (+1 créature/niv).",
  "Classes" :["BARD", "CLERK", "SORCERER", "MAGICIAN", "OCCULT_KNIGHT", "ARCANE_SWINDLER", "FIENDISH"]
   }</v>
      </c>
    </row>
    <row r="130" spans="1:13">
      <c r="A130">
        <v>2</v>
      </c>
      <c r="B130" t="s">
        <v>1317</v>
      </c>
      <c r="C130" t="s">
        <v>1318</v>
      </c>
      <c r="D130" t="s">
        <v>1319</v>
      </c>
      <c r="E130" t="s">
        <v>1155</v>
      </c>
      <c r="F130" t="s">
        <v>1151</v>
      </c>
      <c r="G130" t="s">
        <v>1073</v>
      </c>
      <c r="I130" t="s">
        <v>1320</v>
      </c>
      <c r="J130" t="s">
        <v>1088</v>
      </c>
      <c r="K130" s="216" t="s">
        <v>2934</v>
      </c>
      <c r="M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v>
      </c>
    </row>
    <row r="131" spans="1:13">
      <c r="A131">
        <v>2</v>
      </c>
      <c r="B131" t="s">
        <v>1410</v>
      </c>
      <c r="D131" t="s">
        <v>1411</v>
      </c>
      <c r="E131" t="s">
        <v>1085</v>
      </c>
      <c r="F131" t="s">
        <v>1086</v>
      </c>
      <c r="I131" t="s">
        <v>1412</v>
      </c>
      <c r="J131" t="s">
        <v>1088</v>
      </c>
      <c r="K131" s="216" t="s">
        <v>5983</v>
      </c>
      <c r="M131" t="str">
        <f t="shared" ref="M131:M194" si="2">""""&amp;B131&amp;""": {
  ""Name"" : """&amp;B131&amp;""",
  ""OV"" : """&amp;D131&amp;""",
  ""Level"" : "&amp;A131&amp;",
  ""BBE"" : """&amp;C131&amp;""",
  ""School"" : """&amp;PROPER(E131)&amp;""",
  ""Incantation"" : """&amp;F131&amp;""",
  ""Type"" : """&amp;TRIM(G131&amp;" "&amp;H131)&amp;""",
  ""Description"" : """&amp;I131&amp;""",
  ""Classes"" :["&amp;K131&amp;"]
   }"</f>
        <v>"Corde enchantée": {
  "Name" : "Corde enchantée",
  "OV" : "Rope Trick",
  "Level" : 2,
  "BBE" : "",
  "School" : "Transmutation",
  "Incantation" : "1 action",
  "Type" : "",
  "Description" : "Fait se dresser verticalement une corde qui donne dans un espace extradimensionnel qui peut contenir 8 créatures de taille M.",
  "Classes" :["ARTIFICER", "MAGICIAN", "OCCULT_KNIGHT", "ARCANE_SWINDLER"]
   }</v>
      </c>
    </row>
    <row r="132" spans="1:13">
      <c r="A132">
        <v>2</v>
      </c>
      <c r="B132" t="s">
        <v>1413</v>
      </c>
      <c r="D132" t="s">
        <v>1414</v>
      </c>
      <c r="E132" t="s">
        <v>1085</v>
      </c>
      <c r="F132" t="s">
        <v>1086</v>
      </c>
      <c r="I132" t="s">
        <v>1415</v>
      </c>
      <c r="J132" t="s">
        <v>1148</v>
      </c>
      <c r="K132" s="216" t="s">
        <v>2941</v>
      </c>
      <c r="M132" t="str">
        <f t="shared" si="2"/>
        <v>"Cordon de flèches": {
  "Name" : "Cordon de flèches",
  "OV" : "Cordon of Arrows",
  "Level" : 2,
  "BBE" : "",
  "School" : "Transmutation",
  "Incantation" : "1 action",
  "Type" : "",
  "Description" : "4 munitions infligent 1d6 dégâts perforants si la cible rate un JdS de Dex. (nbre de munitions/niv).",
  "Classes" :["PROWLER"]
   }</v>
      </c>
    </row>
    <row r="133" spans="1:13">
      <c r="A133">
        <v>2</v>
      </c>
      <c r="B133" t="s">
        <v>1429</v>
      </c>
      <c r="D133" t="s">
        <v>1430</v>
      </c>
      <c r="E133" t="s">
        <v>1109</v>
      </c>
      <c r="F133" t="s">
        <v>1086</v>
      </c>
      <c r="G133" t="s">
        <v>1073</v>
      </c>
      <c r="I133" t="s">
        <v>1431</v>
      </c>
      <c r="J133" t="s">
        <v>1148</v>
      </c>
      <c r="K133" s="216" t="s">
        <v>3913</v>
      </c>
      <c r="M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"OCCULT_KNIGHT", "ARCANE_SWINDLER", "WIZARD"]
   }</v>
      </c>
    </row>
    <row r="134" spans="1:13">
      <c r="A134">
        <v>2</v>
      </c>
      <c r="B134" t="s">
        <v>1450</v>
      </c>
      <c r="D134" t="s">
        <v>1451</v>
      </c>
      <c r="E134" t="s">
        <v>1085</v>
      </c>
      <c r="F134" t="s">
        <v>1086</v>
      </c>
      <c r="G134" t="s">
        <v>1073</v>
      </c>
      <c r="I134" t="s">
        <v>1452</v>
      </c>
      <c r="J134" t="s">
        <v>1088</v>
      </c>
      <c r="K134" s="216" t="s">
        <v>2939</v>
      </c>
      <c r="M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v>
      </c>
    </row>
    <row r="135" spans="1:13">
      <c r="A135">
        <v>2</v>
      </c>
      <c r="B135" t="s">
        <v>1462</v>
      </c>
      <c r="D135" t="s">
        <v>1463</v>
      </c>
      <c r="E135" t="s">
        <v>1085</v>
      </c>
      <c r="F135" t="s">
        <v>1086</v>
      </c>
      <c r="I135" t="s">
        <v>1464</v>
      </c>
      <c r="J135" t="s">
        <v>1088</v>
      </c>
      <c r="K135" s="216" t="s">
        <v>3920</v>
      </c>
      <c r="M135" t="str">
        <f t="shared" si="2"/>
        <v>"Déblocage": {
  "Name" : "Déblocage",
  "OV" : "Knock",
  "Level" : 2,
  "BBE" : "",
  "School" : "Transmutation",
  "Incantation" : "1 action",
  "Type" : "",
  "Description" : "Déverrouille ou débloque 1 objet (porte, coffre, cadenas, menottes, etc) ou supprime le sort verrou magique pour 10 minutes.",
  "Classes" :["BARD", "SORCERER", "MAGICIAN", "OCCULT_KNIGHT", "ARCANE_SWINDLER"]
   }</v>
      </c>
    </row>
    <row r="136" spans="1:13">
      <c r="A136">
        <v>2</v>
      </c>
      <c r="B136" t="s">
        <v>1488</v>
      </c>
      <c r="D136" t="s">
        <v>1489</v>
      </c>
      <c r="E136" t="s">
        <v>1179</v>
      </c>
      <c r="F136" t="s">
        <v>1086</v>
      </c>
      <c r="G136" t="s">
        <v>1073</v>
      </c>
      <c r="I136" t="s">
        <v>1490</v>
      </c>
      <c r="J136" t="s">
        <v>1088</v>
      </c>
      <c r="K136" s="216" t="s">
        <v>5644</v>
      </c>
      <c r="M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"OCCULT_KNIGHT", "ARCANE_SWINDLER", "GREAT_OLD"]
   }</v>
      </c>
    </row>
    <row r="137" spans="1:13">
      <c r="A137">
        <v>2</v>
      </c>
      <c r="B137" t="s">
        <v>1560</v>
      </c>
      <c r="D137" t="s">
        <v>1561</v>
      </c>
      <c r="E137" t="s">
        <v>1085</v>
      </c>
      <c r="F137" t="s">
        <v>1086</v>
      </c>
      <c r="G137" t="s">
        <v>1073</v>
      </c>
      <c r="H137" t="s">
        <v>1074</v>
      </c>
      <c r="I137" t="s">
        <v>1562</v>
      </c>
      <c r="J137" t="s">
        <v>1082</v>
      </c>
      <c r="K137" s="216" t="s">
        <v>5994</v>
      </c>
      <c r="M137" t="str">
        <f t="shared" si="2"/>
        <v>"Écrire dans le ciel": {
  "Name" : "Écrire dans le ciel",
  "OV" : "Skywrite",
  "Level" : 2,
  "BBE" : "",
  "School" : "Transmutation",
  "Incantation" : "1 action",
  "Type" : "Concentration Rituel",
  "Description" : "Crée jusqu'à 10 mots dans les nuages.",
  "Classes" :["ARTIFICER", "BARD", "DRUID", "MAGICIAN", "OCCULT_KNIGHT", "ARCANE_SWINDLER"]
   }</v>
      </c>
    </row>
    <row r="138" spans="1:13">
      <c r="A138">
        <v>2</v>
      </c>
      <c r="B138" t="s">
        <v>1582</v>
      </c>
      <c r="D138" t="s">
        <v>1583</v>
      </c>
      <c r="E138" t="s">
        <v>1109</v>
      </c>
      <c r="F138" t="s">
        <v>1086</v>
      </c>
      <c r="I138" t="s">
        <v>1584</v>
      </c>
      <c r="J138" t="s">
        <v>1088</v>
      </c>
      <c r="K138" s="216" t="s">
        <v>2948</v>
      </c>
      <c r="M138" t="str">
        <f t="shared" si="2"/>
        <v>"Envoûtement": {
  "Name" : "Envoûtement",
  "OV" : "Enthrall",
  "Level" : 2,
  "BBE" : "",
  "School" : "Enchantement",
  "Incantation" : "1 action",
  "Type" : "",
  "Description" : "Les cibles doivent réussir un JdS de Sag. ou avoir un désavantage aux jets de Sagesse (Perception) contre d'autres créatures.",
  "Classes" :["BARD", "WIZARD"]
   }</v>
      </c>
    </row>
    <row r="139" spans="1:13">
      <c r="A139">
        <v>2</v>
      </c>
      <c r="B139" t="s">
        <v>1588</v>
      </c>
      <c r="D139" t="s">
        <v>1589</v>
      </c>
      <c r="E139" t="s">
        <v>1179</v>
      </c>
      <c r="F139" t="s">
        <v>1086</v>
      </c>
      <c r="G139" t="s">
        <v>1073</v>
      </c>
      <c r="I139" t="s">
        <v>1590</v>
      </c>
      <c r="J139" t="s">
        <v>1082</v>
      </c>
      <c r="K139" s="216" t="s">
        <v>3915</v>
      </c>
      <c r="M139" t="str">
        <f t="shared" si="2"/>
        <v>"Épine mentale": {
  "Name" : "Épine mentale",
  "OV" : "Mind Spike",
  "Level" : 2,
  "BBE" : "",
  "School" : "Divination",
  "Incantation" : "1 action",
  "Type" : "Concentration",
  "Description" : "La cible doit réussir un JdS de Sag. ou subir 3d8 dégâts psychiques (dégâts/niv).",
  "Classes" :["SORCERER", "MAGICIAN", "OCCULT_KNIGHT", "ARCANE_SWINDLER", "WIZARD"]
   }</v>
      </c>
    </row>
    <row r="140" spans="1:13">
      <c r="A140">
        <v>2</v>
      </c>
      <c r="B140" t="s">
        <v>1597</v>
      </c>
      <c r="D140" t="s">
        <v>1598</v>
      </c>
      <c r="E140" t="s">
        <v>1098</v>
      </c>
      <c r="F140" t="s">
        <v>1151</v>
      </c>
      <c r="G140" t="s">
        <v>1073</v>
      </c>
      <c r="I140" t="s">
        <v>1599</v>
      </c>
      <c r="J140" t="s">
        <v>1082</v>
      </c>
      <c r="K140" s="216" t="s">
        <v>2939</v>
      </c>
      <c r="M140" t="str">
        <f t="shared" si="2"/>
        <v>"Esprit guérisseur": {
  "Name" : "Esprit guérisseur",
  "OV" : "Healing Spirit",
  "Level" : 2,
  "BBE" : "",
  "School" : "Invocation",
  "Incantation" : "1 action bonus",
  "Type" : "Concentration",
  "Description" : "Les créatures au contact de l'esprit créé récupèrent 1d6 pv (+1d6 pv/niv).",
  "Classes" :["DRUID", "PROWLER"]
   }</v>
      </c>
    </row>
    <row r="141" spans="1:13">
      <c r="A141">
        <v>2</v>
      </c>
      <c r="B141" t="s">
        <v>1641</v>
      </c>
      <c r="D141" t="s">
        <v>1642</v>
      </c>
      <c r="E141" t="s">
        <v>1155</v>
      </c>
      <c r="F141" t="s">
        <v>1086</v>
      </c>
      <c r="I141" t="s">
        <v>1643</v>
      </c>
      <c r="J141" t="s">
        <v>1082</v>
      </c>
      <c r="K141" s="216" t="s">
        <v>3914</v>
      </c>
      <c r="M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"OCCULT_KNIGHT", "ARCANE_SWINDLER"]
   }</v>
      </c>
    </row>
    <row r="142" spans="1:13">
      <c r="A142">
        <v>2</v>
      </c>
      <c r="B142" t="s">
        <v>1644</v>
      </c>
      <c r="D142" t="s">
        <v>1645</v>
      </c>
      <c r="E142" t="s">
        <v>1155</v>
      </c>
      <c r="F142" t="s">
        <v>1086</v>
      </c>
      <c r="I142" t="s">
        <v>1646</v>
      </c>
      <c r="J142" t="s">
        <v>1088</v>
      </c>
      <c r="K142" s="216" t="s">
        <v>5995</v>
      </c>
      <c r="M142" t="str">
        <f t="shared" si="2"/>
        <v>"Flamme éternelle": {
  "Name" : "Flamme éternelle",
  "OV" : "Continual Flame",
  "Level" : 2,
  "BBE" : "",
  "School" : "Évocation",
  "Incantation" : "1 action",
  "Type" : "",
  "Description" : "Crée une flamme qui produit une lumière équivalente à celle d'une torche, mais qui ne dégage aucune chaleur.",
  "Classes" :["ARTIFICER",  "CLERK", "MAGICIAN", "OCCULT_KNIGHT", "ARCANE_SWINDLER"]
   }</v>
      </c>
    </row>
    <row r="143" spans="1:13">
      <c r="A143">
        <v>2</v>
      </c>
      <c r="B143" t="s">
        <v>1659</v>
      </c>
      <c r="D143" t="s">
        <v>1660</v>
      </c>
      <c r="E143" t="s">
        <v>1155</v>
      </c>
      <c r="F143" t="s">
        <v>1086</v>
      </c>
      <c r="I143" t="s">
        <v>1661</v>
      </c>
      <c r="J143" t="s">
        <v>1088</v>
      </c>
      <c r="K143" s="216" t="s">
        <v>3922</v>
      </c>
      <c r="M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"Classes" :["MAGICIAN", "OCCULT_KNIGHT", "ARCANE_SWINDLER"]
   }</v>
      </c>
    </row>
    <row r="144" spans="1:13">
      <c r="A144">
        <v>2</v>
      </c>
      <c r="B144" t="s">
        <v>1675</v>
      </c>
      <c r="D144" t="s">
        <v>1676</v>
      </c>
      <c r="E144" t="s">
        <v>1128</v>
      </c>
      <c r="F144" t="s">
        <v>1086</v>
      </c>
      <c r="G144" t="s">
        <v>1073</v>
      </c>
      <c r="I144" t="s">
        <v>1677</v>
      </c>
      <c r="J144" t="s">
        <v>1088</v>
      </c>
      <c r="K144" s="216" t="s">
        <v>5967</v>
      </c>
      <c r="M144" t="str">
        <f t="shared" si="2"/>
        <v>"Flou": {
  "Name" : "Flou",
  "OV" : "Blur",
  "Level" : 2,
  "BBE" : "",
  "School" : "Illusion",
  "Incantation" : "1 action",
  "Type" : "Concentration",
  "Description" : "Le corps du lanceur devient flou et les créatures qui l'attaquent ont un désavantage au jet d'attaque contre lui.",
  "Classes" :["ARTIFICER", "SORCERER", "MAGICIAN", "OCCULT_KNIGHT", "ARCANE_SWINDLER"]
   }</v>
      </c>
    </row>
    <row r="145" spans="1:13">
      <c r="A145">
        <v>2</v>
      </c>
      <c r="B145" t="s">
        <v>1678</v>
      </c>
      <c r="D145" t="s">
        <v>1679</v>
      </c>
      <c r="E145" t="s">
        <v>1128</v>
      </c>
      <c r="F145" t="s">
        <v>1086</v>
      </c>
      <c r="G145" t="s">
        <v>1073</v>
      </c>
      <c r="I145" t="s">
        <v>1680</v>
      </c>
      <c r="J145" t="s">
        <v>1111</v>
      </c>
      <c r="K145" s="216" t="s">
        <v>5645</v>
      </c>
      <c r="M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"OCCULT_KNIGHT", "ARCANE_SWINDLER", "ARCHFAIRY", "GREAT_OLD"]
   }</v>
      </c>
    </row>
    <row r="146" spans="1:13">
      <c r="A146">
        <v>2</v>
      </c>
      <c r="B146" t="s">
        <v>1703</v>
      </c>
      <c r="C146" t="s">
        <v>1704</v>
      </c>
      <c r="D146" t="s">
        <v>1705</v>
      </c>
      <c r="E146" t="s">
        <v>1155</v>
      </c>
      <c r="F146" t="s">
        <v>1086</v>
      </c>
      <c r="I146" t="s">
        <v>1706</v>
      </c>
      <c r="J146" t="s">
        <v>1088</v>
      </c>
      <c r="K146" s="216" t="s">
        <v>3913</v>
      </c>
      <c r="M146" t="str">
        <f t="shared" si="2"/>
        <v>"Fracassement":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"OCCULT_KNIGHT", "ARCANE_SWINDLER", "WIZARD"]
   }</v>
      </c>
    </row>
    <row r="147" spans="1:13">
      <c r="A147">
        <v>2</v>
      </c>
      <c r="B147" t="s">
        <v>1784</v>
      </c>
      <c r="D147" t="s">
        <v>1785</v>
      </c>
      <c r="E147" t="s">
        <v>1128</v>
      </c>
      <c r="F147" t="s">
        <v>1086</v>
      </c>
      <c r="I147" t="s">
        <v>1786</v>
      </c>
      <c r="J147" t="s">
        <v>1088</v>
      </c>
      <c r="K147" s="216" t="s">
        <v>3915</v>
      </c>
      <c r="M147" t="str">
        <f t="shared" si="2"/>
        <v>"Image miroir": {
  "Name" : "Image miroir",
  "OV" : "Mirror Image",
  "Level" : 2,
  "BBE" : "",
  "School" : "Illusion",
  "Incantation" : "1 action",
  "Type" : "",
  "Description" : "Crée 3 duplicatas illusoires du lanceur qui possèdent chacun une CA de 10+Mod.Dex et sont détruits s'ils sont touchés.",
  "Classes" :["SORCERER", "MAGICIAN", "OCCULT_KNIGHT", "ARCANE_SWINDLER", "WIZARD"]
   }</v>
      </c>
    </row>
    <row r="148" spans="1:13">
      <c r="A148">
        <v>2</v>
      </c>
      <c r="B148" t="s">
        <v>1794</v>
      </c>
      <c r="C148" t="s">
        <v>1795</v>
      </c>
      <c r="D148" t="s">
        <v>1796</v>
      </c>
      <c r="E148" t="s">
        <v>1109</v>
      </c>
      <c r="F148" t="s">
        <v>1086</v>
      </c>
      <c r="G148" t="s">
        <v>1073</v>
      </c>
      <c r="I148" t="s">
        <v>1793</v>
      </c>
      <c r="J148" t="s">
        <v>1088</v>
      </c>
      <c r="K148" s="216" t="s">
        <v>3931</v>
      </c>
      <c r="M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"OCCULT_KNIGHT", "ARCANE_SWINDLER", "WIZARD"]
   }</v>
      </c>
    </row>
    <row r="149" spans="1:13">
      <c r="A149">
        <v>2</v>
      </c>
      <c r="B149" t="s">
        <v>1813</v>
      </c>
      <c r="D149" t="s">
        <v>1814</v>
      </c>
      <c r="E149" t="s">
        <v>1128</v>
      </c>
      <c r="F149" t="s">
        <v>1086</v>
      </c>
      <c r="G149" t="s">
        <v>1073</v>
      </c>
      <c r="I149" t="s">
        <v>1815</v>
      </c>
      <c r="J149" t="s">
        <v>1088</v>
      </c>
      <c r="K149" s="216" t="s">
        <v>5966</v>
      </c>
      <c r="M149" t="str">
        <f t="shared" si="2"/>
        <v>"Invisibilité": {
  "Name" : "Invisibilité",
  "OV" : "Invisibility",
  "Level" : 2,
  "BBE" : "",
  "School" : "Illusion",
  "Incantation" : "1 action",
  "Type" : "Concentration",
  "Description" : "La cible devient invisible 1 heure ou jusqu'à ce qu'elle attaque ou lance un sort (+1 créature/niv).",
  "Classes" :["ARTIFICER", "BARD", "SORCERER", "MAGICIAN", "OCCULT_KNIGHT", "ARCANE_SWINDLER", "WIZARD"]
   }</v>
      </c>
    </row>
    <row r="150" spans="1:13">
      <c r="A150">
        <v>2</v>
      </c>
      <c r="B150" t="s">
        <v>1872</v>
      </c>
      <c r="D150" t="s">
        <v>1873</v>
      </c>
      <c r="E150" t="s">
        <v>1155</v>
      </c>
      <c r="F150" t="s">
        <v>1151</v>
      </c>
      <c r="G150" t="s">
        <v>1073</v>
      </c>
      <c r="I150" t="s">
        <v>1874</v>
      </c>
      <c r="J150" t="s">
        <v>1088</v>
      </c>
      <c r="K150" s="216" t="s">
        <v>2926</v>
      </c>
      <c r="M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v>
      </c>
    </row>
    <row r="151" spans="1:13">
      <c r="A151">
        <v>2</v>
      </c>
      <c r="B151" t="s">
        <v>1869</v>
      </c>
      <c r="D151" t="s">
        <v>1870</v>
      </c>
      <c r="E151" t="s">
        <v>1128</v>
      </c>
      <c r="F151" t="s">
        <v>1151</v>
      </c>
      <c r="G151" t="s">
        <v>1073</v>
      </c>
      <c r="I151" t="s">
        <v>1871</v>
      </c>
      <c r="J151" t="s">
        <v>1082</v>
      </c>
      <c r="K151" s="216" t="s">
        <v>3915</v>
      </c>
      <c r="M151" t="str">
        <f t="shared" si="2"/>
        <v>"Lame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"OCCULT_KNIGHT", "ARCANE_SWINDLER", "WIZARD"]
   }</v>
      </c>
    </row>
    <row r="152" spans="1:13">
      <c r="A152">
        <v>2</v>
      </c>
      <c r="B152" t="s">
        <v>1887</v>
      </c>
      <c r="D152" t="s">
        <v>1888</v>
      </c>
      <c r="E152" t="s">
        <v>1085</v>
      </c>
      <c r="F152" t="s">
        <v>1086</v>
      </c>
      <c r="G152" t="s">
        <v>1073</v>
      </c>
      <c r="I152" t="s">
        <v>1889</v>
      </c>
      <c r="J152" t="s">
        <v>1088</v>
      </c>
      <c r="K152" s="216" t="s">
        <v>5967</v>
      </c>
      <c r="M152" t="str">
        <f t="shared" si="2"/>
        <v>"Lévitation": {
  "Name" : "Lévitation",
  "OV" : "Levitate",
  "Level" : 2,
  "BBE" : "",
  "School" : "Transmutation",
  "Incantation" : "1 action",
  "Type" : "Concentration",
  "Description" : "1 créature ou objet de moins de 250 kg s'élève verticalement jusqu'à 6 m et reste en lévitation.",
  "Classes" :["ARTIFICER", "SORCERER", "MAGICIAN", "OCCULT_KNIGHT", "ARCANE_SWINDLER"]
   }</v>
      </c>
    </row>
    <row r="153" spans="1:13">
      <c r="A153">
        <v>2</v>
      </c>
      <c r="B153" t="s">
        <v>1900</v>
      </c>
      <c r="D153" t="s">
        <v>1901</v>
      </c>
      <c r="E153" t="s">
        <v>1079</v>
      </c>
      <c r="F153" t="s">
        <v>1086</v>
      </c>
      <c r="I153" t="s">
        <v>1902</v>
      </c>
      <c r="J153" t="s">
        <v>1088</v>
      </c>
      <c r="K153" s="216" t="s">
        <v>2923</v>
      </c>
      <c r="M153" t="str">
        <f t="shared" si="2"/>
        <v>"Lien de protection": {
  "Name" : "Lien de protection",
  "OV" : "Warding Bond",
  "Level" : 2,
  "BBE" : "",
  "School" : "Abjuration",
  "Incantation" : "1 action",
  "Type" : "",
  "Description" : "La cible gagne +1 à la CA, +1 aux JdS et la résistance à tous les dégâts, mais le lanceur partage ses dégâts.",
  "Classes" :[ "CLERK"]
   }</v>
      </c>
    </row>
    <row r="154" spans="1:13">
      <c r="A154">
        <v>2</v>
      </c>
      <c r="B154" t="s">
        <v>1906</v>
      </c>
      <c r="C154" t="s">
        <v>1907</v>
      </c>
      <c r="D154" t="s">
        <v>1908</v>
      </c>
      <c r="E154" t="s">
        <v>1179</v>
      </c>
      <c r="F154" t="s">
        <v>1086</v>
      </c>
      <c r="H154" t="s">
        <v>1074</v>
      </c>
      <c r="I154" t="s">
        <v>1909</v>
      </c>
      <c r="J154" t="s">
        <v>1088</v>
      </c>
      <c r="K154" s="216" t="s">
        <v>2938</v>
      </c>
      <c r="M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v>
      </c>
    </row>
    <row r="155" spans="1:13">
      <c r="A155">
        <v>2</v>
      </c>
      <c r="B155" t="s">
        <v>1910</v>
      </c>
      <c r="C155" t="s">
        <v>1911</v>
      </c>
      <c r="D155" t="s">
        <v>1912</v>
      </c>
      <c r="E155" t="s">
        <v>1179</v>
      </c>
      <c r="F155" t="s">
        <v>1086</v>
      </c>
      <c r="G155" t="s">
        <v>1073</v>
      </c>
      <c r="I155" t="s">
        <v>1913</v>
      </c>
      <c r="J155" t="s">
        <v>1088</v>
      </c>
      <c r="K155" s="216" t="s">
        <v>3932</v>
      </c>
      <c r="M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"OCCULT_KNIGHT", "ARCANE_SWINDLER", "PALADIN", "PROWLER"]
   }</v>
      </c>
    </row>
    <row r="156" spans="1:13">
      <c r="A156">
        <v>2</v>
      </c>
      <c r="B156" t="s">
        <v>1970</v>
      </c>
      <c r="D156" t="s">
        <v>1971</v>
      </c>
      <c r="E156" t="s">
        <v>1109</v>
      </c>
      <c r="F156" t="s">
        <v>1086</v>
      </c>
      <c r="H156" t="s">
        <v>1074</v>
      </c>
      <c r="I156" t="s">
        <v>1972</v>
      </c>
      <c r="J156" t="s">
        <v>1088</v>
      </c>
      <c r="K156" s="216" t="s">
        <v>2938</v>
      </c>
      <c r="M156" t="str">
        <f t="shared" si="2"/>
        <v>"Messager animal": {
  "Name" : "Messager animal",
  "OV" : "Animal Messenger",
  "Level" : 2,
  "BBE" : "",
  "School" : "Enchantement",
  "Incantation" : "1 action",
  "Type" : "Rituel",
  "Description" : "Une bête de taille TP va livrer un message de 25 mots à une cible (+48 h/niv).",
  "Classes" :["BARD", "DRUID", "PROWLER"]
   }</v>
      </c>
    </row>
    <row r="157" spans="1:13">
      <c r="A157">
        <v>2</v>
      </c>
      <c r="B157" t="s">
        <v>1973</v>
      </c>
      <c r="C157" t="s">
        <v>1974</v>
      </c>
      <c r="D157" t="s">
        <v>1975</v>
      </c>
      <c r="E157" t="s">
        <v>1085</v>
      </c>
      <c r="F157" t="s">
        <v>1086</v>
      </c>
      <c r="G157" t="s">
        <v>1073</v>
      </c>
      <c r="I157" t="s">
        <v>1976</v>
      </c>
      <c r="J157" t="s">
        <v>1088</v>
      </c>
      <c r="K157" s="216" t="s">
        <v>5996</v>
      </c>
      <c r="M157" t="str">
        <f t="shared" si="2"/>
        <v>"Métal brûlant": {
  "Name" : "Métal brûlant",
  "OV" : "Heat Metal",
  "Level" : 2,
  "BBE" : "Chauffer le métal",
  "School" : "Transmutation",
  "Incantation" : "1 action",
  "Type" : "Concentration",
  "Description" : "Les créatures en contact avec l'objet en métal subissent 2d8 dégâts de feu (dégâts/niv).",
  "Classes" :["ARTIFICER", "BARD", "DRUID"]
   }</v>
      </c>
    </row>
    <row r="158" spans="1:13">
      <c r="A158">
        <v>2</v>
      </c>
      <c r="B158" t="s">
        <v>1997</v>
      </c>
      <c r="C158" t="s">
        <v>1998</v>
      </c>
      <c r="D158" t="s">
        <v>1999</v>
      </c>
      <c r="E158" t="s">
        <v>1085</v>
      </c>
      <c r="F158" t="s">
        <v>1086</v>
      </c>
      <c r="G158" t="s">
        <v>1073</v>
      </c>
      <c r="I158" t="s">
        <v>2000</v>
      </c>
      <c r="J158" t="s">
        <v>1088</v>
      </c>
      <c r="K158" s="216" t="s">
        <v>5976</v>
      </c>
      <c r="M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"OCCULT_KNIGHT", "ARTIFICER", "ARCANE_SWINDLER"]
   }</v>
      </c>
    </row>
    <row r="159" spans="1:13">
      <c r="A159">
        <v>2</v>
      </c>
      <c r="B159" t="s">
        <v>2090</v>
      </c>
      <c r="D159" t="s">
        <v>2091</v>
      </c>
      <c r="E159" t="s">
        <v>1155</v>
      </c>
      <c r="F159" t="s">
        <v>1086</v>
      </c>
      <c r="I159" t="s">
        <v>2092</v>
      </c>
      <c r="J159" t="s">
        <v>1082</v>
      </c>
      <c r="K159" s="216" t="s">
        <v>3914</v>
      </c>
      <c r="M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"OCCULT_KNIGHT", "ARCANE_SWINDLER"]
   }</v>
      </c>
    </row>
    <row r="160" spans="1:13">
      <c r="A160">
        <v>2</v>
      </c>
      <c r="B160" t="s">
        <v>2093</v>
      </c>
      <c r="D160" t="s">
        <v>2094</v>
      </c>
      <c r="E160" t="s">
        <v>1098</v>
      </c>
      <c r="F160" t="s">
        <v>1086</v>
      </c>
      <c r="G160" t="s">
        <v>1073</v>
      </c>
      <c r="I160" t="s">
        <v>2095</v>
      </c>
      <c r="J160" t="s">
        <v>1111</v>
      </c>
      <c r="K160" s="216" t="s">
        <v>3913</v>
      </c>
      <c r="M160" t="str">
        <f t="shared" si="2"/>
        <v>"Nuée de dagues": {
  "Name" : "Nuée de dagues",
  "OV" : "Cloud of Daggers",
  "Level" : 2,
  "BBE" : "",
  "School" : "Invocation",
  "Incantation" : "1 action",
  "Type" : "Concentration",
  "Description" : "Les créatures dans un cube de 1,50 m subissent automatiquement 4d4 dégâts tranchants (dégâts/niv).",
  "Classes" :["BARD", "SORCERER", "MAGICIAN", "OCCULT_KNIGHT", "ARCANE_SWINDLER", "WIZARD"]
   }</v>
      </c>
    </row>
    <row r="161" spans="1:13">
      <c r="A161">
        <v>2</v>
      </c>
      <c r="B161" t="s">
        <v>2118</v>
      </c>
      <c r="D161" t="s">
        <v>2119</v>
      </c>
      <c r="E161" t="s">
        <v>1098</v>
      </c>
      <c r="F161" t="s">
        <v>1151</v>
      </c>
      <c r="I161" t="s">
        <v>2120</v>
      </c>
      <c r="J161" t="s">
        <v>1088</v>
      </c>
      <c r="K161" s="216" t="s">
        <v>3915</v>
      </c>
      <c r="M161" t="str">
        <f t="shared" si="2"/>
        <v>"Pas brumeux": {
  "Name" : "Pas brumeux",
  "OV" : "Misty Step",
  "Level" : 2,
  "BBE" : "",
  "School" : "Invocation",
  "Incantation" : "1 action bonus",
  "Type" : "",
  "Description" : "Le lanceur est téléporté jusqu'à 9 mètres.",
  "Classes" :["SORCERER", "MAGICIAN", "OCCULT_KNIGHT", "ARCANE_SWINDLER", "WIZARD"]
   }</v>
      </c>
    </row>
    <row r="162" spans="1:13">
      <c r="A162">
        <v>2</v>
      </c>
      <c r="B162" t="s">
        <v>2130</v>
      </c>
      <c r="D162" t="s">
        <v>2131</v>
      </c>
      <c r="E162" t="s">
        <v>1079</v>
      </c>
      <c r="F162" t="s">
        <v>1086</v>
      </c>
      <c r="G162" t="s">
        <v>1073</v>
      </c>
      <c r="I162" t="s">
        <v>2132</v>
      </c>
      <c r="J162" t="s">
        <v>1088</v>
      </c>
      <c r="K162" s="216" t="s">
        <v>2939</v>
      </c>
      <c r="M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v>
      </c>
    </row>
    <row r="163" spans="1:13">
      <c r="A163">
        <v>2</v>
      </c>
      <c r="B163" t="s">
        <v>2136</v>
      </c>
      <c r="D163" t="s">
        <v>2137</v>
      </c>
      <c r="E163" t="s">
        <v>1085</v>
      </c>
      <c r="F163" t="s">
        <v>1086</v>
      </c>
      <c r="G163" t="s">
        <v>1073</v>
      </c>
      <c r="I163" t="s">
        <v>2138</v>
      </c>
      <c r="J163" t="s">
        <v>1088</v>
      </c>
      <c r="K163" s="216" t="s">
        <v>5988</v>
      </c>
      <c r="M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:["ARTIFICER", "SORCERER", "MAGICIAN", "OCCULT_KNIGHT", "ARCANE_SWINDLER", "WIZARD"]
   }</v>
      </c>
    </row>
    <row r="164" spans="1:13">
      <c r="A164">
        <v>2</v>
      </c>
      <c r="B164" t="s">
        <v>2139</v>
      </c>
      <c r="D164" t="s">
        <v>2140</v>
      </c>
      <c r="E164" t="s">
        <v>1085</v>
      </c>
      <c r="F164" t="s">
        <v>1086</v>
      </c>
      <c r="G164" t="s">
        <v>1073</v>
      </c>
      <c r="I164" t="s">
        <v>2141</v>
      </c>
      <c r="J164" t="s">
        <v>1088</v>
      </c>
      <c r="K164" s="216" t="s">
        <v>2939</v>
      </c>
      <c r="M164" t="str">
        <f t="shared" si="2"/>
        <v>"Peau d'écorce": {
  "Name" : "Peau d'écorce",
  "OV" : "Barkskin",
  "Level" : 2,
  "BBE" : "",
  "School" : "Transmutation",
  "Incantation" : "1 action",
  "Type" : "Concentration",
  "Description" : "La cible obtient une CA de 16 minimum.",
  "Classes" :["DRUID", "PROWLER"]
   }</v>
      </c>
    </row>
    <row r="165" spans="1:13">
      <c r="A165">
        <v>2</v>
      </c>
      <c r="B165" t="s">
        <v>2163</v>
      </c>
      <c r="D165" t="s">
        <v>2164</v>
      </c>
      <c r="E165" t="s">
        <v>1085</v>
      </c>
      <c r="F165" t="s">
        <v>1086</v>
      </c>
      <c r="G165" t="s">
        <v>1073</v>
      </c>
      <c r="I165" t="s">
        <v>2165</v>
      </c>
      <c r="J165" t="s">
        <v>1082</v>
      </c>
      <c r="K165" s="216" t="s">
        <v>3914</v>
      </c>
      <c r="M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"OCCULT_KNIGHT", "ARCANE_SWINDLER"]
   }</v>
      </c>
    </row>
    <row r="166" spans="1:13">
      <c r="A166">
        <v>2</v>
      </c>
      <c r="B166" t="s">
        <v>2178</v>
      </c>
      <c r="C166" t="s">
        <v>2179</v>
      </c>
      <c r="D166" t="s">
        <v>2180</v>
      </c>
      <c r="E166" t="s">
        <v>1121</v>
      </c>
      <c r="F166" t="s">
        <v>1086</v>
      </c>
      <c r="H166" t="s">
        <v>1074</v>
      </c>
      <c r="I166" t="s">
        <v>2181</v>
      </c>
      <c r="J166" t="s">
        <v>1088</v>
      </c>
      <c r="K166" s="216" t="s">
        <v>3930</v>
      </c>
      <c r="M166" t="str">
        <f t="shared" si="2"/>
        <v>"Préservation des morts": {
  "Name" : "Préservation des morts",
  "OV" : "Gentle Repose",
  "Level" : 2,
  "BBE" : "Doux repos",
  "School" : "Nécromancie",
  "Incantation" : "1 action",
  "Type" : "Rituel",
  "Description" : "Protège un cadavre du pourrissement ou de devenir un mort-vivant.",
  "Classes" :[ "CLERK", "MAGICIAN", "OCCULT_KNIGHT", "ARCANE_SWINDLER"]
   }</v>
      </c>
    </row>
    <row r="167" spans="1:13">
      <c r="A167">
        <v>2</v>
      </c>
      <c r="B167" t="s">
        <v>2188</v>
      </c>
      <c r="C167" t="s">
        <v>2189</v>
      </c>
      <c r="D167" t="s">
        <v>2190</v>
      </c>
      <c r="E167" t="s">
        <v>1155</v>
      </c>
      <c r="F167" t="s">
        <v>1099</v>
      </c>
      <c r="I167" t="s">
        <v>2191</v>
      </c>
      <c r="J167" t="s">
        <v>1088</v>
      </c>
      <c r="K167" s="216" t="s">
        <v>2923</v>
      </c>
      <c r="M167" t="str">
        <f t="shared" si="2"/>
        <v>"Prière de guérison": {
  "Name" : "Prière de guérison",
  "OV" : "Prayer of Healing",
  "Level" : 2,
  "BBE" : "Prière de soins",
  "School" : "Évocation",
  "Incantation" : "10 minutes",
  "Type" : "",
  "Description" : "Jusqu'à 6 créatures récupèrent 2d8+Mod.Carac pv (+1d8 pv/niv).",
  "Classes" :[ "CLERK"]
   }</v>
      </c>
    </row>
    <row r="168" spans="1:13">
      <c r="A168">
        <v>2</v>
      </c>
      <c r="B168" t="s">
        <v>2215</v>
      </c>
      <c r="D168" t="s">
        <v>2216</v>
      </c>
      <c r="E168" t="s">
        <v>1079</v>
      </c>
      <c r="F168" t="s">
        <v>1086</v>
      </c>
      <c r="I168" t="s">
        <v>2217</v>
      </c>
      <c r="J168" t="s">
        <v>1088</v>
      </c>
      <c r="K168" s="216" t="s">
        <v>5997</v>
      </c>
      <c r="M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:["ARTIFICER",  "CLERK", "DRUID", "PALADIN", "PROWLER"]
   }</v>
      </c>
    </row>
    <row r="169" spans="1:13">
      <c r="A169">
        <v>2</v>
      </c>
      <c r="B169" t="s">
        <v>2235</v>
      </c>
      <c r="D169" t="s">
        <v>2236</v>
      </c>
      <c r="E169" t="s">
        <v>1085</v>
      </c>
      <c r="F169" t="s">
        <v>1086</v>
      </c>
      <c r="I169" t="s">
        <v>2237</v>
      </c>
      <c r="J169" t="s">
        <v>1082</v>
      </c>
      <c r="K169" s="216" t="s">
        <v>5974</v>
      </c>
      <c r="M169" t="str">
        <f t="shared" si="2"/>
        <v>"Pyrotechnie": {
  "Name" : "Pyrotechnie",
  "OV" : "Pyrotechnics",
  "Level" : 2,
  "BBE" : "",
  "School" : "Transmutation",
  "Incantation" : "1 action",
  "Type" : "",
  "Description" : "Cible des flammes à 18 m et les fait exploser (JdS de Con. ou aveuglée) ou échapper une épaisse fumée (visibilité nulle).",
  "Classes" :["ARTIFICER", "BARD", "SORCERER", "MAGICIAN", "OCCULT_KNIGHT", "ARCANE_SWINDLER"]
   }</v>
      </c>
    </row>
    <row r="170" spans="1:13">
      <c r="A170">
        <v>2</v>
      </c>
      <c r="B170" t="s">
        <v>2245</v>
      </c>
      <c r="D170" t="s">
        <v>2246</v>
      </c>
      <c r="E170" t="s">
        <v>1121</v>
      </c>
      <c r="F170" t="s">
        <v>1086</v>
      </c>
      <c r="G170" t="s">
        <v>1073</v>
      </c>
      <c r="I170" t="s">
        <v>2247</v>
      </c>
      <c r="J170" t="s">
        <v>1088</v>
      </c>
      <c r="K170" s="216" t="s">
        <v>3919</v>
      </c>
      <c r="M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"OCCULT_KNIGHT", "ARCANE_SWINDLER", "WIZARD"]
   }</v>
      </c>
    </row>
    <row r="171" spans="1:13">
      <c r="A171">
        <v>2</v>
      </c>
      <c r="B171" t="s">
        <v>2248</v>
      </c>
      <c r="D171" t="s">
        <v>2249</v>
      </c>
      <c r="E171" t="s">
        <v>1155</v>
      </c>
      <c r="F171" t="s">
        <v>1086</v>
      </c>
      <c r="I171" t="s">
        <v>2250</v>
      </c>
      <c r="J171" t="s">
        <v>1088</v>
      </c>
      <c r="K171" s="216" t="s">
        <v>5636</v>
      </c>
      <c r="M171" t="str">
        <f t="shared" si="2"/>
        <v>"Rayon ardent": {
  "Name" : "Rayon ardent",
  "OV" : "Scorching Ray",
  "Level" : 2,
  "BBE" : "",
  "School" : "Évocation",
  "Incantation" : "1 action",
  "Type" : "",
  "Description" : "Si les attaques touchent, 3 rayons infligent chacun 2d6 dégâts de feu (+1 rayon/niv).",
  "Classes" :["SORCERER", "MAGICIAN", "OCCULT_KNIGHT", "ARCANE_SWINDLER", "FIENDISH"]
   }</v>
      </c>
    </row>
    <row r="172" spans="1:13">
      <c r="A172">
        <v>2</v>
      </c>
      <c r="B172" t="s">
        <v>2254</v>
      </c>
      <c r="D172" t="s">
        <v>2255</v>
      </c>
      <c r="E172" t="s">
        <v>1155</v>
      </c>
      <c r="F172" t="s">
        <v>1086</v>
      </c>
      <c r="G172" t="s">
        <v>1073</v>
      </c>
      <c r="I172" t="s">
        <v>2256</v>
      </c>
      <c r="J172" t="s">
        <v>1088</v>
      </c>
      <c r="K172" s="216" t="s">
        <v>2926</v>
      </c>
      <c r="M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"Classes" :["DRUID"]
   }</v>
      </c>
    </row>
    <row r="173" spans="1:13">
      <c r="A173">
        <v>2</v>
      </c>
      <c r="B173" t="s">
        <v>2300</v>
      </c>
      <c r="C173" t="s">
        <v>2301</v>
      </c>
      <c r="D173" t="s">
        <v>2302</v>
      </c>
      <c r="E173" t="s">
        <v>1079</v>
      </c>
      <c r="F173" t="s">
        <v>1086</v>
      </c>
      <c r="I173" t="s">
        <v>2303</v>
      </c>
      <c r="J173" t="s">
        <v>1088</v>
      </c>
      <c r="K173" s="216" t="s">
        <v>5998</v>
      </c>
      <c r="M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:["ARTIFICER", "BARD",  "CLERK", "DRUID", "PALADIN", "PROWLER"]
   }</v>
      </c>
    </row>
    <row r="174" spans="1:13">
      <c r="A174">
        <v>2</v>
      </c>
      <c r="B174" t="s">
        <v>2350</v>
      </c>
      <c r="D174" t="s">
        <v>2351</v>
      </c>
      <c r="E174" t="s">
        <v>1179</v>
      </c>
      <c r="F174" t="s">
        <v>1086</v>
      </c>
      <c r="G174" t="s">
        <v>1073</v>
      </c>
      <c r="H174" t="s">
        <v>1074</v>
      </c>
      <c r="I174" t="s">
        <v>2352</v>
      </c>
      <c r="J174" t="s">
        <v>1111</v>
      </c>
      <c r="K174" s="216" t="s">
        <v>2939</v>
      </c>
      <c r="M174" t="str">
        <f t="shared" si="2"/>
        <v>"Sens animal": {
  "Name" : "Sens animal",
  "OV" : "Beast Sense",
  "Level" : 2,
  "BBE" : "",
  "School" : "Divination",
  "Incantation" : "1 action",
  "Type" : "Concentration Rituel",
  "Description" : "Le lanceur peut voir/entendre/sentir à travers les sens d'une bête consentante.",
  "Classes" :["DRUID", "PROWLER"]
   }</v>
      </c>
    </row>
    <row r="175" spans="1:13">
      <c r="A175">
        <v>2</v>
      </c>
      <c r="B175" t="s">
        <v>2357</v>
      </c>
      <c r="C175" t="s">
        <v>2358</v>
      </c>
      <c r="D175" t="s">
        <v>2359</v>
      </c>
      <c r="E175" t="s">
        <v>1179</v>
      </c>
      <c r="F175" t="s">
        <v>1086</v>
      </c>
      <c r="I175" t="s">
        <v>2360</v>
      </c>
      <c r="J175" t="s">
        <v>1088</v>
      </c>
      <c r="K175" s="216" t="s">
        <v>2942</v>
      </c>
      <c r="M175" t="str">
        <f t="shared" si="2"/>
        <v>"Sens des pièges": {
  "Name" : "Sens des pièges",
  "OV" : "Find Traps",
  "Level" : 2,
  "BBE" : "Trouver les pièges",
  "School" : "Divination",
  "Incantation" : "1 action",
  "Type" : "",
  "Description" : "Le lanceur sent tous pièges dans un rayon de 36 m, mais le sort donne pas leur localisation.",
  "Classes" :[ "CLERK", "DRUID", "PROWLER"]
   }</v>
      </c>
    </row>
    <row r="176" spans="1:13">
      <c r="A176">
        <v>2</v>
      </c>
      <c r="B176" t="s">
        <v>2370</v>
      </c>
      <c r="D176" t="s">
        <v>2370</v>
      </c>
      <c r="E176" t="s">
        <v>1128</v>
      </c>
      <c r="F176" t="s">
        <v>1086</v>
      </c>
      <c r="G176" t="s">
        <v>1073</v>
      </c>
      <c r="H176" t="s">
        <v>1074</v>
      </c>
      <c r="I176" t="s">
        <v>2371</v>
      </c>
      <c r="J176" t="s">
        <v>1088</v>
      </c>
      <c r="K176" s="216" t="s">
        <v>2943</v>
      </c>
      <c r="M176" t="str">
        <f t="shared" si="2"/>
        <v>"Silence": {
  "Name" : "Silence",
  "OV" : "Silence",
  "Level" : 2,
  "BBE" : "",
  "School" : "Illusion",
  "Incantation" : "1 action",
  "Type" : "Concentration Rituel",
  "Description" : "Bloque tous les sons dans une sphère de 6m de rayon.",
  "Classes" :["BARD",  "CLERK", "PROWLER"]
   }</v>
      </c>
    </row>
    <row r="177" spans="1:13">
      <c r="A177">
        <v>2</v>
      </c>
      <c r="B177" t="s">
        <v>2390</v>
      </c>
      <c r="D177" t="s">
        <v>2391</v>
      </c>
      <c r="E177" t="s">
        <v>1085</v>
      </c>
      <c r="F177" t="s">
        <v>1151</v>
      </c>
      <c r="G177" t="s">
        <v>1073</v>
      </c>
      <c r="I177" t="s">
        <v>2392</v>
      </c>
      <c r="J177" t="s">
        <v>1082</v>
      </c>
      <c r="K177" s="216" t="s">
        <v>3914</v>
      </c>
      <c r="M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"OCCULT_KNIGHT", "ARCANE_SWINDLER"]
   }</v>
      </c>
    </row>
    <row r="178" spans="1:13">
      <c r="A178">
        <v>2</v>
      </c>
      <c r="B178" t="s">
        <v>2399</v>
      </c>
      <c r="D178" t="s">
        <v>2400</v>
      </c>
      <c r="E178" t="s">
        <v>1098</v>
      </c>
      <c r="F178" t="s">
        <v>1086</v>
      </c>
      <c r="G178" t="s">
        <v>1073</v>
      </c>
      <c r="I178" t="s">
        <v>2401</v>
      </c>
      <c r="J178" t="s">
        <v>1088</v>
      </c>
      <c r="K178" s="216" t="s">
        <v>3933</v>
      </c>
      <c r="M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"OCCULT_KNIGHT", "ARCANE_SWINDLER"]
   }</v>
      </c>
    </row>
    <row r="179" spans="1:13">
      <c r="A179">
        <v>2</v>
      </c>
      <c r="B179" t="s">
        <v>2419</v>
      </c>
      <c r="D179" t="s">
        <v>2419</v>
      </c>
      <c r="E179" t="s">
        <v>1109</v>
      </c>
      <c r="F179" t="s">
        <v>1086</v>
      </c>
      <c r="G179" t="s">
        <v>1073</v>
      </c>
      <c r="I179" t="s">
        <v>2420</v>
      </c>
      <c r="J179" t="s">
        <v>1088</v>
      </c>
      <c r="K179" s="216" t="s">
        <v>3913</v>
      </c>
      <c r="M179" t="str">
        <f t="shared" si="2"/>
        <v>"Suggestion": {
  "Name" : "Suggestion",
  "OV" : "Suggestion",
  "Level" : 2,
  "BBE" : "",
  "School" : "Enchantement",
  "Incantation" : "1 action",
  "Type" : "Concentration",
  "Description" : "La cible doit réussir un JdS de Sag. ou suivre la suggestion que lui donne le lanceur en une ou deux phrases.",
  "Classes" :["BARD", "SORCERER", "MAGICIAN", "OCCULT_KNIGHT", "ARCANE_SWINDLER", "WIZARD"]
   }</v>
      </c>
    </row>
    <row r="180" spans="1:13">
      <c r="A180">
        <v>2</v>
      </c>
      <c r="B180" t="s">
        <v>2451</v>
      </c>
      <c r="D180" t="s">
        <v>2452</v>
      </c>
      <c r="E180" t="s">
        <v>1155</v>
      </c>
      <c r="F180" t="s">
        <v>1086</v>
      </c>
      <c r="G180" t="s">
        <v>1073</v>
      </c>
      <c r="I180" t="s">
        <v>2453</v>
      </c>
      <c r="J180" t="s">
        <v>1088</v>
      </c>
      <c r="K180" s="216" t="s">
        <v>3915</v>
      </c>
      <c r="M180" t="str">
        <f t="shared" si="2"/>
        <v>"Ténèbres": {
  "Name" : "Ténèbres",
  "OV" : "Darkness",
  "Level" : 2,
  "BBE" : "",
  "School" : "Évocation",
  "Incantation" : "1 action",
  "Type" : "Concentration",
  "Description" : "Remplit une sphère de 4,50 m de rayon de ténèbres magiques.",
  "Classes" :["SORCERER", "MAGICIAN", "OCCULT_KNIGHT", "ARCANE_SWINDLER", "WIZARD"]
   }</v>
      </c>
    </row>
    <row r="181" spans="1:13">
      <c r="A181">
        <v>2</v>
      </c>
      <c r="B181" t="s">
        <v>2477</v>
      </c>
      <c r="D181" t="s">
        <v>2478</v>
      </c>
      <c r="E181" t="s">
        <v>1098</v>
      </c>
      <c r="F181" t="s">
        <v>1086</v>
      </c>
      <c r="G181" t="s">
        <v>1073</v>
      </c>
      <c r="I181" t="s">
        <v>2479</v>
      </c>
      <c r="J181" t="s">
        <v>1088</v>
      </c>
      <c r="K181" s="216" t="s">
        <v>5967</v>
      </c>
      <c r="M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"Classes" :["ARTIFICER", "SORCERER", "MAGICIAN", "OCCULT_KNIGHT", "ARCANE_SWINDLER"]
   }</v>
      </c>
    </row>
    <row r="182" spans="1:13">
      <c r="A182">
        <v>2</v>
      </c>
      <c r="B182" t="s">
        <v>2487</v>
      </c>
      <c r="D182" t="s">
        <v>2488</v>
      </c>
      <c r="E182" t="s">
        <v>1098</v>
      </c>
      <c r="F182" t="s">
        <v>1086</v>
      </c>
      <c r="G182" t="s">
        <v>1073</v>
      </c>
      <c r="I182" t="s">
        <v>2489</v>
      </c>
      <c r="J182" t="s">
        <v>1082</v>
      </c>
      <c r="K182" s="216" t="s">
        <v>3916</v>
      </c>
      <c r="M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"OCCULT_KNIGHT", "ARCANE_SWINDLER"]
   }</v>
      </c>
    </row>
    <row r="183" spans="1:13">
      <c r="A183">
        <v>2</v>
      </c>
      <c r="B183" t="s">
        <v>2522</v>
      </c>
      <c r="D183" t="s">
        <v>2523</v>
      </c>
      <c r="E183" t="s">
        <v>1155</v>
      </c>
      <c r="F183" t="s">
        <v>1086</v>
      </c>
      <c r="G183" t="s">
        <v>1073</v>
      </c>
      <c r="I183" t="s">
        <v>2524</v>
      </c>
      <c r="J183" t="s">
        <v>1082</v>
      </c>
      <c r="K183" s="216" t="s">
        <v>3926</v>
      </c>
      <c r="M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"OCCULT_KNIGHT", "ARCANE_SWINDLER"]
   }</v>
      </c>
    </row>
    <row r="184" spans="1:13">
      <c r="A184">
        <v>2</v>
      </c>
      <c r="B184" t="s">
        <v>2525</v>
      </c>
      <c r="D184" t="s">
        <v>2526</v>
      </c>
      <c r="E184" t="s">
        <v>1079</v>
      </c>
      <c r="F184" t="s">
        <v>1086</v>
      </c>
      <c r="I184" t="s">
        <v>2527</v>
      </c>
      <c r="J184" t="s">
        <v>1088</v>
      </c>
      <c r="K184" s="216" t="s">
        <v>5983</v>
      </c>
      <c r="M184" t="str">
        <f t="shared" si="2"/>
        <v>"Verrou magique": {
  "Name" : "Verrou magique",
  "OV" : "Arcane Lock",
  "Level" : 2,
  "BBE" : "",
  "School" : "Abjuration",
  "Incantation" : "1 action",
  "Type" : "",
  "Description" : "Verrouille un objet (porte, fenêtre, coffre, etc) et le lanceur peut définir un mot de passe pour supprimer le sort 1 minute.",
  "Classes" :["ARTIFICER", "MAGICIAN", "OCCULT_KNIGHT", "ARCANE_SWINDLER"]
   }</v>
      </c>
    </row>
    <row r="185" spans="1:13">
      <c r="A185">
        <v>2</v>
      </c>
      <c r="B185" t="s">
        <v>2528</v>
      </c>
      <c r="D185" t="s">
        <v>2529</v>
      </c>
      <c r="E185" t="s">
        <v>1085</v>
      </c>
      <c r="F185" t="s">
        <v>1086</v>
      </c>
      <c r="I185" t="s">
        <v>2530</v>
      </c>
      <c r="J185" t="s">
        <v>1088</v>
      </c>
      <c r="K185" s="216" t="s">
        <v>5989</v>
      </c>
      <c r="M185" t="str">
        <f t="shared" si="2"/>
        <v>"Vision dans le noir": {
  "Name" : "Vision dans le noir",
  "OV" : "Darkvision",
  "Level" : 2,
  "BBE" : "",
  "School" : "Transmutation",
  "Incantation" : "1 action",
  "Type" : "",
  "Description" : "La cible peut voir dans le noir à 18 mètres.",
  "Classes" :["ARTIFICER", "DRUID", "SORCERER", "MAGICIAN", "OCCULT_KNIGHT", "ARCANE_SWINDLER", "PROWLER"]
   }</v>
      </c>
    </row>
    <row r="186" spans="1:13">
      <c r="A186">
        <v>2</v>
      </c>
      <c r="B186" t="s">
        <v>2534</v>
      </c>
      <c r="D186" t="s">
        <v>2535</v>
      </c>
      <c r="E186" t="s">
        <v>1179</v>
      </c>
      <c r="F186" t="s">
        <v>1086</v>
      </c>
      <c r="I186" t="s">
        <v>2536</v>
      </c>
      <c r="J186" t="s">
        <v>1088</v>
      </c>
      <c r="K186" s="216" t="s">
        <v>5999</v>
      </c>
      <c r="M186" t="str">
        <f t="shared" si="2"/>
        <v>"Voir l'invisible": {
  "Name" : "Voir l'invisible",
  "OV" : "See Invisibility",
  "Level" : 2,
  "BBE" : "",
  "School" : "Divination",
  "Incantation" : "1 action",
  "Type" : "",
  "Description" : "Le lanceur voit les créatures ou objets invisibles, et dans le plan éthéré.",
  "Classes" :["BARD", "SORCERER", "MAGICIAN", "ARTIFICER", "OCCULT_KNIGHT", "ARCANE_SWINDLER"]
   }</v>
      </c>
    </row>
    <row r="187" spans="1:13">
      <c r="A187">
        <v>2</v>
      </c>
      <c r="B187" t="s">
        <v>2540</v>
      </c>
      <c r="D187" t="s">
        <v>2541</v>
      </c>
      <c r="E187" t="s">
        <v>1109</v>
      </c>
      <c r="F187" t="s">
        <v>1086</v>
      </c>
      <c r="I187" t="s">
        <v>2542</v>
      </c>
      <c r="J187" t="s">
        <v>1088</v>
      </c>
      <c r="K187" s="216" t="s">
        <v>2936</v>
      </c>
      <c r="M187" t="str">
        <f t="shared" si="2"/>
        <v>"Zone de vérité": {
  "Name" : "Zone de vérité",
  "OV" : "Zone of Truth",
  "Level" : 2,
  "BBE" : "",
  "School" : "Enchantement",
  "Incantation" : "1 action",
  "Type" : "",
  "Description" : "Les créatures dans une sphère de 4,50 m de rayon doivent réussir un JdS de Cha. ou ne pas pouvoir mentir.",
  "Classes" :["BARD",  "CLERK", "PALADIN"]
   }</v>
      </c>
    </row>
    <row r="188" spans="1:13">
      <c r="A188">
        <v>3</v>
      </c>
      <c r="B188" t="s">
        <v>1119</v>
      </c>
      <c r="D188" t="s">
        <v>1120</v>
      </c>
      <c r="E188" t="s">
        <v>1121</v>
      </c>
      <c r="F188" t="s">
        <v>1094</v>
      </c>
      <c r="I188" t="s">
        <v>1122</v>
      </c>
      <c r="J188" t="s">
        <v>1088</v>
      </c>
      <c r="K188" s="216" t="s">
        <v>3930</v>
      </c>
      <c r="M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"OCCULT_KNIGHT", "ARCANE_SWINDLER"]
   }</v>
      </c>
    </row>
    <row r="189" spans="1:13">
      <c r="A189">
        <v>3</v>
      </c>
      <c r="B189" t="s">
        <v>1134</v>
      </c>
      <c r="D189" t="s">
        <v>1135</v>
      </c>
      <c r="E189" t="s">
        <v>1098</v>
      </c>
      <c r="F189" t="s">
        <v>1086</v>
      </c>
      <c r="G189" t="s">
        <v>1073</v>
      </c>
      <c r="I189" t="s">
        <v>1136</v>
      </c>
      <c r="J189" t="s">
        <v>1088</v>
      </c>
      <c r="K189" s="216" t="s">
        <v>2926</v>
      </c>
      <c r="M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v>
      </c>
    </row>
    <row r="190" spans="1:13">
      <c r="A190">
        <v>3</v>
      </c>
      <c r="B190" t="s">
        <v>1145</v>
      </c>
      <c r="D190" t="s">
        <v>1146</v>
      </c>
      <c r="E190" t="s">
        <v>1085</v>
      </c>
      <c r="F190" t="s">
        <v>1086</v>
      </c>
      <c r="G190" t="s">
        <v>1073</v>
      </c>
      <c r="I190" t="s">
        <v>1147</v>
      </c>
      <c r="J190" t="s">
        <v>1148</v>
      </c>
      <c r="K190" s="216" t="s">
        <v>6000</v>
      </c>
      <c r="M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:["ARTIFICER", "PALADIN"]
   }</v>
      </c>
    </row>
    <row r="191" spans="1:13">
      <c r="A191">
        <v>3</v>
      </c>
      <c r="B191" t="s">
        <v>1196</v>
      </c>
      <c r="D191" t="s">
        <v>1197</v>
      </c>
      <c r="E191" t="s">
        <v>1155</v>
      </c>
      <c r="F191" t="s">
        <v>1086</v>
      </c>
      <c r="G191" t="s">
        <v>1073</v>
      </c>
      <c r="I191" t="s">
        <v>1198</v>
      </c>
      <c r="J191" t="s">
        <v>1148</v>
      </c>
      <c r="K191" s="216" t="s">
        <v>2934</v>
      </c>
      <c r="M191" t="str">
        <f t="shared" si="2"/>
        <v>"Aura de vitalité": {
  "Name" : "Aura de vitalité",
  "OV" : "Aura of Vitality",
  "Level" : 3,
  "BBE" : "",
  "School" : "Évocation",
  "Incantation" : "1 action",
  "Type" : "Concentration",
  "Description" : "La cible dans un rayon de 9 m récupère 2d6 pv.",
  "Classes" :["PALADIN"]
   }</v>
      </c>
    </row>
    <row r="192" spans="1:13">
      <c r="A192">
        <v>3</v>
      </c>
      <c r="B192" t="s">
        <v>1199</v>
      </c>
      <c r="D192" t="s">
        <v>1200</v>
      </c>
      <c r="E192" t="s">
        <v>1155</v>
      </c>
      <c r="F192" t="s">
        <v>1086</v>
      </c>
      <c r="G192" t="s">
        <v>1073</v>
      </c>
      <c r="I192" t="s">
        <v>1201</v>
      </c>
      <c r="J192" t="s">
        <v>1148</v>
      </c>
      <c r="K192" s="216" t="s">
        <v>2934</v>
      </c>
      <c r="M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v>
      </c>
    </row>
    <row r="193" spans="1:13">
      <c r="A193">
        <v>3</v>
      </c>
      <c r="B193" t="s">
        <v>1239</v>
      </c>
      <c r="D193" t="s">
        <v>1240</v>
      </c>
      <c r="E193" t="s">
        <v>1155</v>
      </c>
      <c r="F193" t="s">
        <v>1086</v>
      </c>
      <c r="I193" t="s">
        <v>1241</v>
      </c>
      <c r="J193" t="s">
        <v>1088</v>
      </c>
      <c r="K193" s="216" t="s">
        <v>5636</v>
      </c>
      <c r="M193" t="str">
        <f t="shared" si="2"/>
        <v>"Boule de feu": {
  "Name" : "Boule de feu",
  "OV" : "Fireball",
  "Level" : 3,
  "BBE" : "",
  "School" : "Évocation",
  "Incantation" : "1 action",
  "Type" : "",
  "Description" : "Les créatures dans un rayon de 6 m doivent réussir un JdS de Dex. ou subir 8d6 dégâts de feu (dégâts/niv).",
  "Classes" :["SORCERER", "MAGICIAN", "OCCULT_KNIGHT", "ARCANE_SWINDLER", "FIENDISH"]
   }</v>
      </c>
    </row>
    <row r="194" spans="1:13">
      <c r="A194">
        <v>3</v>
      </c>
      <c r="B194" t="s">
        <v>1273</v>
      </c>
      <c r="D194" t="s">
        <v>1274</v>
      </c>
      <c r="E194" t="s">
        <v>1079</v>
      </c>
      <c r="F194" t="s">
        <v>1094</v>
      </c>
      <c r="I194" t="s">
        <v>1275</v>
      </c>
      <c r="J194" t="s">
        <v>1088</v>
      </c>
      <c r="K194" s="216" t="s">
        <v>3934</v>
      </c>
      <c r="M194" t="str">
        <f t="shared" si="2"/>
        <v>"Cercle magique": {
  "Name" : "Cercle magique",
  "OV" : "Magic Circle",
  "Level" : 3,
  "BBE" : "",
  "School" : "Abjuration",
  "Incantation" : "1 minute",
  "Type" : "",
  "Description" : "Crée un cylindre de 6 x 6 m qui protège des célestes, élémentaires, fées, fiélons et/ou morts-vivants (+1 h/niv).",
  "Classes" :[ "CLERK", "MAGICIAN", "OCCULT_KNIGHT", "ARCANE_SWINDLER", "PALADIN", "WIZARD"]
   }</v>
      </c>
    </row>
    <row r="195" spans="1:13">
      <c r="A195">
        <v>3</v>
      </c>
      <c r="B195" t="s">
        <v>1305</v>
      </c>
      <c r="C195" t="s">
        <v>1306</v>
      </c>
      <c r="D195" t="s">
        <v>1307</v>
      </c>
      <c r="E195" t="s">
        <v>1155</v>
      </c>
      <c r="F195" t="s">
        <v>1151</v>
      </c>
      <c r="G195" t="s">
        <v>1073</v>
      </c>
      <c r="I195" t="s">
        <v>1308</v>
      </c>
      <c r="J195" t="s">
        <v>1148</v>
      </c>
      <c r="K195" s="216" t="s">
        <v>2934</v>
      </c>
      <c r="M195" t="str">
        <f t="shared" ref="M195:M258" si="3">""""&amp;B195&amp;""": {
  ""Name"" : """&amp;B195&amp;""",
  ""OV"" : """&amp;D195&amp;""",
  ""Level"" : "&amp;A195&amp;",
  ""BBE"" : """&amp;C195&amp;""",
  ""School"" : """&amp;PROPER(E195)&amp;""",
  ""Incantation"" : """&amp;F195&amp;""",
  ""Type"" : """&amp;TRIM(G195&amp;" "&amp;H195)&amp;""",
  ""Description"" : """&amp;I195&amp;""",
  ""Classes"" :["&amp;K195&amp;"]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v>
      </c>
    </row>
    <row r="196" spans="1:13">
      <c r="A196">
        <v>3</v>
      </c>
      <c r="B196" t="s">
        <v>1328</v>
      </c>
      <c r="D196" t="s">
        <v>1328</v>
      </c>
      <c r="E196" t="s">
        <v>1179</v>
      </c>
      <c r="F196" t="s">
        <v>1099</v>
      </c>
      <c r="G196" t="s">
        <v>1073</v>
      </c>
      <c r="I196" t="s">
        <v>1329</v>
      </c>
      <c r="J196" t="s">
        <v>1088</v>
      </c>
      <c r="K196" s="216" t="s">
        <v>5646</v>
      </c>
      <c r="M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"OCCULT_KNIGHT", "ARCANE_SWINDLER", "GREAT_OLD"]
   }</v>
      </c>
    </row>
    <row r="197" spans="1:13">
      <c r="A197">
        <v>3</v>
      </c>
      <c r="B197" t="s">
        <v>1330</v>
      </c>
      <c r="D197" t="s">
        <v>1331</v>
      </c>
      <c r="E197" t="s">
        <v>1085</v>
      </c>
      <c r="F197" t="s">
        <v>1086</v>
      </c>
      <c r="I197" t="s">
        <v>1332</v>
      </c>
      <c r="J197" t="s">
        <v>1088</v>
      </c>
      <c r="K197" s="216" t="s">
        <v>6001</v>
      </c>
      <c r="M197" t="str">
        <f t="shared" si="3"/>
        <v>"Clignotement": {
  "Name" : "Clignotement",
  "OV" : "Blink",
  "Level" : 3,
  "BBE" : "",
  "School" : "Transmutation",
  "Incantation" : "1 action",
  "Type" : "",
  "Description" : "Le lanceur a 50% de chance de passer dans le plan éthéré, puis il revient dans l'espace qu'il occupait au tour suivant.",
  "Classes" :["ARTIFICER", "SORCERER", "MAGICIAN", "OCCULT_KNIGHT", "ARCANE_SWINDLER", "ARCHFAIRY"]
   }</v>
      </c>
    </row>
    <row r="198" spans="1:13">
      <c r="A198">
        <v>3</v>
      </c>
      <c r="B198" t="s">
        <v>1344</v>
      </c>
      <c r="C198" t="s">
        <v>1345</v>
      </c>
      <c r="D198" t="s">
        <v>1346</v>
      </c>
      <c r="E198" t="s">
        <v>1155</v>
      </c>
      <c r="F198" t="s">
        <v>1086</v>
      </c>
      <c r="I198" t="s">
        <v>1347</v>
      </c>
      <c r="J198" t="s">
        <v>1088</v>
      </c>
      <c r="K198" s="216" t="s">
        <v>5647</v>
      </c>
      <c r="M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"OCCULT_KNIGHT", "ARCANE_SWINDLER", "GREAT_OLD"]
   }</v>
      </c>
    </row>
    <row r="199" spans="1:13">
      <c r="A199">
        <v>3</v>
      </c>
      <c r="B199" t="s">
        <v>1351</v>
      </c>
      <c r="D199" t="s">
        <v>1352</v>
      </c>
      <c r="E199" t="s">
        <v>1121</v>
      </c>
      <c r="F199" t="s">
        <v>1086</v>
      </c>
      <c r="I199" t="s">
        <v>1353</v>
      </c>
      <c r="J199" t="s">
        <v>1088</v>
      </c>
      <c r="K199" s="216" t="s">
        <v>2924</v>
      </c>
      <c r="M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v>
      </c>
    </row>
    <row r="200" spans="1:13">
      <c r="A200">
        <v>3</v>
      </c>
      <c r="B200" t="s">
        <v>1354</v>
      </c>
      <c r="D200" t="s">
        <v>1355</v>
      </c>
      <c r="E200" t="s">
        <v>1085</v>
      </c>
      <c r="F200" t="s">
        <v>1086</v>
      </c>
      <c r="I200" t="s">
        <v>1356</v>
      </c>
      <c r="J200" t="s">
        <v>1088</v>
      </c>
      <c r="K200" s="216" t="s">
        <v>2938</v>
      </c>
      <c r="M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v>
      </c>
    </row>
    <row r="201" spans="1:13">
      <c r="A201">
        <v>3</v>
      </c>
      <c r="B201" t="s">
        <v>1389</v>
      </c>
      <c r="D201" t="s">
        <v>1390</v>
      </c>
      <c r="E201" t="s">
        <v>1079</v>
      </c>
      <c r="F201" t="s">
        <v>1080</v>
      </c>
      <c r="I201" t="s">
        <v>1391</v>
      </c>
      <c r="J201" t="s">
        <v>1088</v>
      </c>
      <c r="K201" s="216" t="s">
        <v>3915</v>
      </c>
      <c r="M201" t="str">
        <f t="shared" si="3"/>
        <v>"Contresort": {
  "Name" : "Contresort",
  "OV" : "Counterspell",
  "Level" : 3,
  "BBE" : "",
  "School" : "Abjuration",
  "Incantation" : "1 réaction",
  "Type" : "",
  "Description" : "En réaction, fait échouer un sort de niveau 3 ou inférieur. Jet de Carac.Inc pour un sort de niveau 4 ou supérieur (seuil/niv).",
  "Classes" :["SORCERER", "MAGICIAN", "OCCULT_KNIGHT", "ARCANE_SWINDLER", "WIZARD"]
   }</v>
      </c>
    </row>
    <row r="202" spans="1:13">
      <c r="A202">
        <v>3</v>
      </c>
      <c r="B202" t="s">
        <v>1444</v>
      </c>
      <c r="D202" t="s">
        <v>1445</v>
      </c>
      <c r="E202" t="s">
        <v>1098</v>
      </c>
      <c r="F202" t="s">
        <v>1086</v>
      </c>
      <c r="I202" t="s">
        <v>1446</v>
      </c>
      <c r="J202" t="s">
        <v>1088</v>
      </c>
      <c r="K202" s="216" t="s">
        <v>6002</v>
      </c>
      <c r="M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"Classes" :["ARTIFICER",  "CLERK", "PALADIN"]
   }</v>
      </c>
    </row>
    <row r="203" spans="1:13">
      <c r="A203">
        <v>3</v>
      </c>
      <c r="B203" t="s">
        <v>1453</v>
      </c>
      <c r="D203" t="s">
        <v>1454</v>
      </c>
      <c r="E203" t="s">
        <v>1085</v>
      </c>
      <c r="F203" t="s">
        <v>1455</v>
      </c>
      <c r="I203" t="s">
        <v>1456</v>
      </c>
      <c r="J203" t="s">
        <v>1088</v>
      </c>
      <c r="K203" s="216" t="s">
        <v>5634</v>
      </c>
      <c r="M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"ARCHFAIRY"]
   }</v>
      </c>
    </row>
    <row r="204" spans="1:13">
      <c r="A204">
        <v>3</v>
      </c>
      <c r="B204" t="s">
        <v>1472</v>
      </c>
      <c r="C204" t="s">
        <v>1473</v>
      </c>
      <c r="D204" t="s">
        <v>1474</v>
      </c>
      <c r="E204" t="s">
        <v>1079</v>
      </c>
      <c r="F204" t="s">
        <v>1086</v>
      </c>
      <c r="I204" t="s">
        <v>1475</v>
      </c>
      <c r="J204" t="s">
        <v>1088</v>
      </c>
      <c r="K204" s="216" t="s">
        <v>3934</v>
      </c>
      <c r="M204" t="str">
        <f t="shared" si="3"/>
        <v>"Délivrance des malédictions": {
  "Name" : "Délivrance des malédictions",
  "OV" : "Remove Curse",
  "Level" : 3,
  "BBE" : "Lever une malédiction",
  "School" : "Abjuration",
  "Incantation" : "1 action",
  "Type" : "",
  "Description" : "Met fin à toutes les malédictions affligeant une créature ou un objet.",
  "Classes" :[ "CLERK", "MAGICIAN", "OCCULT_KNIGHT", "ARCANE_SWINDLER", "PALADIN", "WIZARD"]
   }</v>
      </c>
    </row>
    <row r="205" spans="1:13">
      <c r="A205">
        <v>3</v>
      </c>
      <c r="B205" t="s">
        <v>1504</v>
      </c>
      <c r="D205" t="s">
        <v>1505</v>
      </c>
      <c r="E205" t="s">
        <v>1079</v>
      </c>
      <c r="F205" t="s">
        <v>1086</v>
      </c>
      <c r="I205" t="s">
        <v>1506</v>
      </c>
      <c r="J205" t="s">
        <v>1088</v>
      </c>
      <c r="K205" s="216" t="s">
        <v>6003</v>
      </c>
      <c r="M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:["ARTIFICER", "BARD",  "CLERK", "DRUID", "SORCERER", "MAGICIAN", "OCCULT_KNIGHT", "ARCANE_SWINDLER", "PALADIN", "WIZARD"]
   }</v>
      </c>
    </row>
    <row r="206" spans="1:13">
      <c r="A206">
        <v>3</v>
      </c>
      <c r="B206" t="s">
        <v>1543</v>
      </c>
      <c r="D206" t="s">
        <v>1544</v>
      </c>
      <c r="E206" t="s">
        <v>1155</v>
      </c>
      <c r="F206" t="s">
        <v>1086</v>
      </c>
      <c r="I206" t="s">
        <v>1545</v>
      </c>
      <c r="J206" t="s">
        <v>1088</v>
      </c>
      <c r="K206" s="216" t="s">
        <v>3914</v>
      </c>
      <c r="M206" t="str">
        <f t="shared" si="3"/>
        <v>"Éclair": {
  "Name" : "Éclair",
  "OV" : "Lightning Bolt",
  "Level" : 3,
  "BBE" : "",
  "School" : "Évocation",
  "Incantation" : "1 action",
  "Type" : "",
  "Description" : "Les créatures sur une ligne de 30 x 1,50 m doivent réussir un JdS de Dex. ou subir 8d6 dégâts de foudre (dégâts/niv).",
  "Classes" :["SORCERER", "MAGICIAN", "OCCULT_KNIGHT", "ARCANE_SWINDLER"]
   }</v>
      </c>
    </row>
    <row r="207" spans="1:13">
      <c r="A207">
        <v>3</v>
      </c>
      <c r="B207" t="s">
        <v>1579</v>
      </c>
      <c r="D207" t="s">
        <v>1580</v>
      </c>
      <c r="E207" t="s">
        <v>1109</v>
      </c>
      <c r="F207" t="s">
        <v>1086</v>
      </c>
      <c r="G207" t="s">
        <v>1073</v>
      </c>
      <c r="I207" t="s">
        <v>1581</v>
      </c>
      <c r="K207" s="216" t="s">
        <v>3913</v>
      </c>
      <c r="M207" t="str">
        <f t="shared" si="3"/>
        <v>"Ennemis à foison": {
  "Name" : "Ennemis à foison",
  "OV" : "Enemies Abound",
  "Level" : 3,
  "BBE" : "",
  "School" : "Enchantement",
  "Incantation" : "1 action",
  "Type" : "Concentration",
  "Description" : "La cible doit réussir un JdS d'Int. ou ne plus pouvoir distinguer amis et ennemis ",
  "Classes" :["BARD", "SORCERER", "MAGICIAN", "OCCULT_KNIGHT", "ARCANE_SWINDLER", "WIZARD"]
   }</v>
      </c>
    </row>
    <row r="208" spans="1:13">
      <c r="A208">
        <v>3</v>
      </c>
      <c r="B208" t="s">
        <v>1591</v>
      </c>
      <c r="D208" t="s">
        <v>1592</v>
      </c>
      <c r="E208" t="s">
        <v>1085</v>
      </c>
      <c r="F208" t="s">
        <v>1086</v>
      </c>
      <c r="I208" t="s">
        <v>1593</v>
      </c>
      <c r="J208" t="s">
        <v>1082</v>
      </c>
      <c r="K208" s="216" t="s">
        <v>3916</v>
      </c>
      <c r="M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"OCCULT_KNIGHT", "ARCANE_SWINDLER"]
   }</v>
      </c>
    </row>
    <row r="209" spans="1:13">
      <c r="A209">
        <v>3</v>
      </c>
      <c r="B209" t="s">
        <v>1602</v>
      </c>
      <c r="D209" t="s">
        <v>1603</v>
      </c>
      <c r="E209" t="s">
        <v>1098</v>
      </c>
      <c r="F209" t="s">
        <v>1086</v>
      </c>
      <c r="G209" t="s">
        <v>1073</v>
      </c>
      <c r="I209" t="s">
        <v>1604</v>
      </c>
      <c r="J209" t="s">
        <v>1088</v>
      </c>
      <c r="K209" s="216" t="s">
        <v>2923</v>
      </c>
      <c r="M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v>
      </c>
    </row>
    <row r="210" spans="1:13">
      <c r="A210">
        <v>3</v>
      </c>
      <c r="B210" t="s">
        <v>1627</v>
      </c>
      <c r="C210" t="s">
        <v>1628</v>
      </c>
      <c r="D210" t="s">
        <v>1629</v>
      </c>
      <c r="E210" t="s">
        <v>1098</v>
      </c>
      <c r="F210" t="s">
        <v>1086</v>
      </c>
      <c r="G210" t="s">
        <v>1073</v>
      </c>
      <c r="I210" t="s">
        <v>1630</v>
      </c>
      <c r="J210" t="s">
        <v>1148</v>
      </c>
      <c r="K210" s="216" t="s">
        <v>2945</v>
      </c>
      <c r="M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v>
      </c>
    </row>
    <row r="211" spans="1:13">
      <c r="A211">
        <v>3</v>
      </c>
      <c r="B211" t="s">
        <v>1662</v>
      </c>
      <c r="D211" t="s">
        <v>1663</v>
      </c>
      <c r="E211" t="s">
        <v>1085</v>
      </c>
      <c r="F211" t="s">
        <v>1151</v>
      </c>
      <c r="G211" t="s">
        <v>1073</v>
      </c>
      <c r="I211" t="s">
        <v>1664</v>
      </c>
      <c r="J211" t="s">
        <v>1148</v>
      </c>
      <c r="K211" s="216" t="s">
        <v>2941</v>
      </c>
      <c r="M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v>
      </c>
    </row>
    <row r="212" spans="1:13">
      <c r="A212">
        <v>3</v>
      </c>
      <c r="B212" t="s">
        <v>1665</v>
      </c>
      <c r="D212" t="s">
        <v>1666</v>
      </c>
      <c r="E212" t="s">
        <v>1085</v>
      </c>
      <c r="F212" t="s">
        <v>1086</v>
      </c>
      <c r="G212" t="s">
        <v>1073</v>
      </c>
      <c r="I212" t="s">
        <v>1667</v>
      </c>
      <c r="J212" t="s">
        <v>1082</v>
      </c>
      <c r="K212" s="216" t="s">
        <v>5989</v>
      </c>
      <c r="M212" t="str">
        <f t="shared" si="3"/>
        <v>"Flèches enflammées": {
  "Name" : "Flèches enflammées",
  "OV" : "Flame Arrows",
  "Level" : 3,
  "BBE" : "",
  "School" : "Transmutation",
  "Incantation" : "1 action",
  "Type" : "Concentration",
  "Description" : "12 flèches/carreaux infligent 1d6 dégâts de feu extra (+2 munitions/niv).",
  "Classes" :["ARTIFICER", "DRUID", "SORCERER", "MAGICIAN", "OCCULT_KNIGHT", "ARCANE_SWINDLER", "PROWLER"]
   }</v>
      </c>
    </row>
    <row r="213" spans="1:13">
      <c r="A213">
        <v>3</v>
      </c>
      <c r="B213" t="s">
        <v>1684</v>
      </c>
      <c r="D213" t="s">
        <v>1685</v>
      </c>
      <c r="E213" t="s">
        <v>1085</v>
      </c>
      <c r="F213" t="s">
        <v>1086</v>
      </c>
      <c r="G213" t="s">
        <v>1073</v>
      </c>
      <c r="I213" t="s">
        <v>1686</v>
      </c>
      <c r="J213" t="s">
        <v>1088</v>
      </c>
      <c r="K213" s="216" t="s">
        <v>3915</v>
      </c>
      <c r="M213" t="str">
        <f t="shared" si="3"/>
        <v>"Forme gazeuse": {
  "Name" : "Forme gazeuse",
  "OV" : "Gaseous Form",
  "Level" : 3,
  "BBE" : "",
  "School" : "Transmutation",
  "Incantation" : "1 action",
  "Type" : "Concentration",
  "Description" : "La cible se transforme en nuage, obtient une vitesse de vol de 3 m et peut passer par de petits trous.",
  "Classes" :["SORCERER", "MAGICIAN", "OCCULT_KNIGHT", "ARCANE_SWINDLER", "WIZARD"]
   }</v>
      </c>
    </row>
    <row r="214" spans="1:13">
      <c r="A214">
        <v>3</v>
      </c>
      <c r="B214" t="s">
        <v>1723</v>
      </c>
      <c r="D214" t="s">
        <v>1724</v>
      </c>
      <c r="E214" t="s">
        <v>1085</v>
      </c>
      <c r="F214" t="s">
        <v>1086</v>
      </c>
      <c r="H214" t="s">
        <v>1074</v>
      </c>
      <c r="I214" t="s">
        <v>1725</v>
      </c>
      <c r="J214" t="s">
        <v>1088</v>
      </c>
      <c r="K214" s="216" t="s">
        <v>2930</v>
      </c>
      <c r="M214" t="str">
        <f t="shared" si="3"/>
        <v>"Fusion dans la pierre": {
  "Name" : "Fusion dans la pierre",
  "OV" : "Meld into Stone",
  "Level" : 3,
  "BBE" : "",
  "School" : "Transmutation",
  "Incantation" : "1 action",
  "Type" : "Rituel",
  "Description" : "Le lanceur peut pénétrer dans la pierre.",
  "Classes" :[ "CLERK", "DRUID"]
   }</v>
      </c>
    </row>
    <row r="215" spans="1:13">
      <c r="A215">
        <v>3</v>
      </c>
      <c r="B215" t="s">
        <v>1742</v>
      </c>
      <c r="D215" t="s">
        <v>1743</v>
      </c>
      <c r="E215" t="s">
        <v>1079</v>
      </c>
      <c r="F215" t="s">
        <v>1132</v>
      </c>
      <c r="I215" t="s">
        <v>1744</v>
      </c>
      <c r="J215" t="s">
        <v>1088</v>
      </c>
      <c r="K215" s="216" t="s">
        <v>6004</v>
      </c>
      <c r="M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"Classes" :["ARTIFICER", "BARD",  "CLERK", "MAGICIAN", "OCCULT_KNIGHT", "ARCANE_SWINDLER"]
   }</v>
      </c>
    </row>
    <row r="216" spans="1:13">
      <c r="A216">
        <v>3</v>
      </c>
      <c r="B216" t="s">
        <v>1763</v>
      </c>
      <c r="D216" t="s">
        <v>1764</v>
      </c>
      <c r="E216" t="s">
        <v>1085</v>
      </c>
      <c r="F216" t="s">
        <v>1086</v>
      </c>
      <c r="G216" t="s">
        <v>1073</v>
      </c>
      <c r="I216" t="s">
        <v>1765</v>
      </c>
      <c r="J216" t="s">
        <v>1088</v>
      </c>
      <c r="K216" s="216" t="s">
        <v>5967</v>
      </c>
      <c r="M216" t="str">
        <f t="shared" si="3"/>
        <v>"Hâte": {
  "Name" : "Hâte",
  "OV" : "Haste",
  "Level" : 3,
  "BBE" : "",
  "School" : "Transmutation",
  "Incantation" : "1 action",
  "Type" : "Concentration",
  "Description" : "La cible voit sa vitesse doublée. Elle gagne aussi un bonus de +2 à la CA, l'avantage aux JdS de Dex. et 1 action extra.",
  "Classes" :["ARTIFICER", "SORCERER", "MAGICIAN", "OCCULT_KNIGHT", "ARCANE_SWINDLER"]
   }</v>
      </c>
    </row>
    <row r="217" spans="1:13">
      <c r="A217">
        <v>3</v>
      </c>
      <c r="B217" t="s">
        <v>1781</v>
      </c>
      <c r="D217" t="s">
        <v>1782</v>
      </c>
      <c r="E217" t="s">
        <v>1128</v>
      </c>
      <c r="F217" t="s">
        <v>1086</v>
      </c>
      <c r="G217" t="s">
        <v>1073</v>
      </c>
      <c r="I217" t="s">
        <v>1783</v>
      </c>
      <c r="J217" t="s">
        <v>1088</v>
      </c>
      <c r="K217" s="216" t="s">
        <v>3913</v>
      </c>
      <c r="M217" t="str">
        <f t="shared" si="3"/>
        <v>"Image majeure": {
  "Name" : "Image majeure",
  "OV" : "Major Image",
  "Level" : 3,
  "BBE" : "",
  "School" : "Illusion",
  "Incantation" : "1 action",
  "Type" : "Concentration",
  "Description" : "Crée l'image d'un objet ou d'une créature animée, avec sons et odeurs (sans concentration/niv).",
  "Classes" :["BARD", "SORCERER", "MAGICIAN", "OCCULT_KNIGHT", "ARCANE_SWINDLER", "WIZARD"]
   }</v>
      </c>
    </row>
    <row r="218" spans="1:13">
      <c r="A218">
        <v>3</v>
      </c>
      <c r="B218" t="s">
        <v>1819</v>
      </c>
      <c r="C218" t="s">
        <v>1820</v>
      </c>
      <c r="D218" t="s">
        <v>1821</v>
      </c>
      <c r="E218" t="s">
        <v>1098</v>
      </c>
      <c r="F218" t="s">
        <v>1086</v>
      </c>
      <c r="G218" t="s">
        <v>1073</v>
      </c>
      <c r="I218" t="s">
        <v>1822</v>
      </c>
      <c r="J218" t="s">
        <v>1088</v>
      </c>
      <c r="K218" s="216" t="s">
        <v>2939</v>
      </c>
      <c r="M218" t="str">
        <f t="shared" si="3"/>
        <v>"Invocation d'animaux": {
  "Name" : "Invocation d'animaux",
  "OV" : "Conjure Animals",
  "Level" : 3,
  "BBE" : "Invoquer des animaux",
  "School" : "Invocation",
  "Incantation" : "1 action",
  "Type" : "Concentration",
  "Description" : "Invoque de 1 bête FP 2 à 8 bêtes FP 1/4 amicales (nbre de créatures/niv).",
  "Classes" :["DRUID", "PROWLER"]
   }</v>
      </c>
    </row>
    <row r="219" spans="1:13">
      <c r="A219">
        <v>3</v>
      </c>
      <c r="B219" t="s">
        <v>1842</v>
      </c>
      <c r="D219" t="s">
        <v>1843</v>
      </c>
      <c r="E219" t="s">
        <v>1098</v>
      </c>
      <c r="F219" t="s">
        <v>1086</v>
      </c>
      <c r="G219" t="s">
        <v>1073</v>
      </c>
      <c r="I219" t="s">
        <v>1844</v>
      </c>
      <c r="J219" t="s">
        <v>1082</v>
      </c>
      <c r="K219" s="216" t="s">
        <v>3919</v>
      </c>
      <c r="M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"OCCULT_KNIGHT", "ARCANE_SWINDLER", "WIZARD"]
   }</v>
      </c>
    </row>
    <row r="220" spans="1:13">
      <c r="A220">
        <v>3</v>
      </c>
      <c r="B220" t="s">
        <v>1849</v>
      </c>
      <c r="C220" t="s">
        <v>1850</v>
      </c>
      <c r="D220" t="s">
        <v>1851</v>
      </c>
      <c r="E220" t="s">
        <v>1098</v>
      </c>
      <c r="F220" t="s">
        <v>1086</v>
      </c>
      <c r="I220" t="s">
        <v>1852</v>
      </c>
      <c r="J220" t="s">
        <v>1148</v>
      </c>
      <c r="K220" s="216" t="s">
        <v>2941</v>
      </c>
      <c r="M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v>
      </c>
    </row>
    <row r="221" spans="1:13">
      <c r="A221">
        <v>3</v>
      </c>
      <c r="B221" t="s">
        <v>1878</v>
      </c>
      <c r="D221" t="s">
        <v>1879</v>
      </c>
      <c r="E221" t="s">
        <v>1179</v>
      </c>
      <c r="F221" t="s">
        <v>1086</v>
      </c>
      <c r="I221" t="s">
        <v>1880</v>
      </c>
      <c r="J221" t="s">
        <v>1088</v>
      </c>
      <c r="K221" s="216" t="s">
        <v>3936</v>
      </c>
      <c r="M221" t="str">
        <f t="shared" si="3"/>
        <v>"Langues": {
  "Name" : "Langues",
  "OV" : "Tongues",
  "Level" : 3,
  "BBE" : "",
  "School" : "Divination",
  "Incantation" : "1 action",
  "Type" : "",
  "Description" : "La cible comprend et parle toutes les langues parlées qu'elle entend.",
  "Classes" :["BARD",  "CLERK", "SORCERER", "MAGICIAN", "OCCULT_KNIGHT", "ARCANE_SWINDLER", "WIZARD"]
   }</v>
      </c>
    </row>
    <row r="222" spans="1:13">
      <c r="A222">
        <v>3</v>
      </c>
      <c r="B222" t="s">
        <v>1884</v>
      </c>
      <c r="D222" t="s">
        <v>1885</v>
      </c>
      <c r="E222" t="s">
        <v>1085</v>
      </c>
      <c r="F222" t="s">
        <v>1086</v>
      </c>
      <c r="G222" t="s">
        <v>1073</v>
      </c>
      <c r="I222" t="s">
        <v>1886</v>
      </c>
      <c r="J222" t="s">
        <v>1088</v>
      </c>
      <c r="K222" s="216" t="s">
        <v>3914</v>
      </c>
      <c r="M222" t="str">
        <f t="shared" si="3"/>
        <v>"Lenteur": {
  "Name" : "Lenteur",
  "OV" : "Slow",
  "Level" : 3,
  "BBE" : "",
  "School" : "Transmutation",
  "Incantation" : "1 action",
  "Type" : "Concentration",
  "Description" : "Jusqu'à 6 cibles doivent réussir un JdS de Sag. ou avoir leur vitesse et leurs actions réduites, -2 en CA et aux JdS de Dex.",
  "Classes" :["SORCERER", "MAGICIAN", "OCCULT_KNIGHT", "ARCANE_SWINDLER"]
   }</v>
      </c>
    </row>
    <row r="223" spans="1:13">
      <c r="A223">
        <v>3</v>
      </c>
      <c r="B223" t="s">
        <v>1918</v>
      </c>
      <c r="D223" t="s">
        <v>1919</v>
      </c>
      <c r="E223" t="s">
        <v>1079</v>
      </c>
      <c r="F223" t="s">
        <v>1086</v>
      </c>
      <c r="G223" t="s">
        <v>1073</v>
      </c>
      <c r="I223" t="s">
        <v>1920</v>
      </c>
      <c r="J223" t="s">
        <v>1088</v>
      </c>
      <c r="K223" s="216" t="s">
        <v>2923</v>
      </c>
      <c r="M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v>
      </c>
    </row>
    <row r="224" spans="1:13">
      <c r="A224">
        <v>3</v>
      </c>
      <c r="B224" t="s">
        <v>1927</v>
      </c>
      <c r="D224" t="s">
        <v>1928</v>
      </c>
      <c r="E224" t="s">
        <v>1155</v>
      </c>
      <c r="F224" t="s">
        <v>1086</v>
      </c>
      <c r="I224" t="s">
        <v>1929</v>
      </c>
      <c r="J224" t="s">
        <v>1088</v>
      </c>
      <c r="K224" s="216" t="s">
        <v>2944</v>
      </c>
      <c r="M224" t="str">
        <f t="shared" si="3"/>
        <v>"Lumière du jour": {
  "Name" : "Lumière du jour",
  "OV" : "Daylight",
  "Level" : 3,
  "BBE" : "",
  "School" : "Évocation",
  "Incantation" : "1 action",
  "Type" : "",
  "Description" : "Crée une sphère qui emet une lumière vive sur 18 m et une lumière faible sur 18 m supplémentaires.",
  "Classes" :[ "CLERK", "DRUID", "SORCERER", "PALADIN", "PROWLER"]
   }</v>
      </c>
    </row>
    <row r="225" spans="1:13">
      <c r="A225">
        <v>3</v>
      </c>
      <c r="B225" t="s">
        <v>1946</v>
      </c>
      <c r="C225" t="s">
        <v>1947</v>
      </c>
      <c r="D225" t="s">
        <v>1948</v>
      </c>
      <c r="E225" t="s">
        <v>1121</v>
      </c>
      <c r="F225" t="s">
        <v>1086</v>
      </c>
      <c r="G225" t="s">
        <v>1073</v>
      </c>
      <c r="I225" t="s">
        <v>1949</v>
      </c>
      <c r="J225" t="s">
        <v>1088</v>
      </c>
      <c r="K225" s="216" t="s">
        <v>3935</v>
      </c>
      <c r="M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"OCCULT_KNIGHT", "ARCANE_SWINDLER"]
   }</v>
      </c>
    </row>
    <row r="226" spans="1:13">
      <c r="A226">
        <v>3</v>
      </c>
      <c r="B226" t="s">
        <v>1956</v>
      </c>
      <c r="D226" t="s">
        <v>1957</v>
      </c>
      <c r="E226" t="s">
        <v>1085</v>
      </c>
      <c r="F226" t="s">
        <v>1086</v>
      </c>
      <c r="H226" t="s">
        <v>1074</v>
      </c>
      <c r="I226" t="s">
        <v>1958</v>
      </c>
      <c r="J226" t="s">
        <v>1088</v>
      </c>
      <c r="K226" s="216" t="s">
        <v>6005</v>
      </c>
      <c r="M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"Classes" :["ARTIFICER",  "CLERK", "DRUID", "SORCERER", "PROWLER"]
   }</v>
      </c>
    </row>
    <row r="227" spans="1:13">
      <c r="A227">
        <v>3</v>
      </c>
      <c r="B227" t="s">
        <v>1987</v>
      </c>
      <c r="D227" t="s">
        <v>1988</v>
      </c>
      <c r="E227" t="s">
        <v>1155</v>
      </c>
      <c r="F227" t="s">
        <v>1086</v>
      </c>
      <c r="G227" t="s">
        <v>1073</v>
      </c>
      <c r="I227" t="s">
        <v>1989</v>
      </c>
      <c r="J227" t="s">
        <v>1082</v>
      </c>
      <c r="K227" s="216" t="s">
        <v>3914</v>
      </c>
      <c r="M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"OCCULT_KNIGHT", "ARCANE_SWINDLER"]
   }</v>
      </c>
    </row>
    <row r="228" spans="1:13">
      <c r="A228">
        <v>3</v>
      </c>
      <c r="B228" t="s">
        <v>2004</v>
      </c>
      <c r="D228" t="s">
        <v>2005</v>
      </c>
      <c r="E228" t="s">
        <v>1128</v>
      </c>
      <c r="F228" t="s">
        <v>1094</v>
      </c>
      <c r="H228" t="s">
        <v>1074</v>
      </c>
      <c r="I228" t="s">
        <v>2006</v>
      </c>
      <c r="J228" t="s">
        <v>1088</v>
      </c>
      <c r="K228" s="216" t="s">
        <v>3922</v>
      </c>
      <c r="M228" t="str">
        <f t="shared" si="3"/>
        <v>"Monture fantôme": {
  "Name" : "Monture fantôme",
  "OV" : "Phantom Steed",
  "Level" : 3,
  "BBE" : "",
  "School" : "Illusion",
  "Incantation" : "1 minute",
  "Type" : "Rituel",
  "Description" : "Crée une créature semi-réelle de taille G ressemblant à un cheval et tout le nécessaire pour la monter.",
  "Classes" :["MAGICIAN", "OCCULT_KNIGHT", "ARCANE_SWINDLER"]
   }</v>
      </c>
    </row>
    <row r="229" spans="1:13">
      <c r="A229">
        <v>3</v>
      </c>
      <c r="B229" t="s">
        <v>2010</v>
      </c>
      <c r="C229" t="s">
        <v>2011</v>
      </c>
      <c r="D229" t="s">
        <v>2012</v>
      </c>
      <c r="E229" t="s">
        <v>1121</v>
      </c>
      <c r="F229" t="s">
        <v>1086</v>
      </c>
      <c r="H229" t="s">
        <v>1074</v>
      </c>
      <c r="I229" t="s">
        <v>2013</v>
      </c>
      <c r="J229" t="s">
        <v>1148</v>
      </c>
      <c r="K229" s="216" t="s">
        <v>3937</v>
      </c>
      <c r="M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"OCCULT_KNIGHT", "ARCANE_SWINDLER"]
   }</v>
      </c>
    </row>
    <row r="230" spans="1:13">
      <c r="A230">
        <v>3</v>
      </c>
      <c r="B230" t="s">
        <v>2017</v>
      </c>
      <c r="D230" t="s">
        <v>2018</v>
      </c>
      <c r="E230" t="s">
        <v>1155</v>
      </c>
      <c r="F230" t="s">
        <v>1151</v>
      </c>
      <c r="I230" t="s">
        <v>2019</v>
      </c>
      <c r="J230" t="s">
        <v>1088</v>
      </c>
      <c r="K230" s="216" t="s">
        <v>2923</v>
      </c>
      <c r="M230" t="str">
        <f t="shared" si="3"/>
        <v>"Mot de guérison de groupe": {
  "Name" : "Mot de guérison de groupe",
  "OV" : "Mass Healing Word",
  "Level" : 3,
  "BBE" : "",
  "School" : "Évocation",
  "Incantation" : "1 action bonus",
  "Type" : "",
  "Description" : "Jusqu'à 6 créatures récupèrent 1d4+Mod.Carac pv (+1d4 pv/niv).",
  "Classes" :[ "CLERK"]
   }</v>
      </c>
    </row>
    <row r="231" spans="1:13">
      <c r="A231">
        <v>3</v>
      </c>
      <c r="B231" t="s">
        <v>2039</v>
      </c>
      <c r="D231" t="s">
        <v>2040</v>
      </c>
      <c r="E231" t="s">
        <v>1128</v>
      </c>
      <c r="F231" t="s">
        <v>1086</v>
      </c>
      <c r="G231" t="s">
        <v>1073</v>
      </c>
      <c r="I231" t="s">
        <v>2041</v>
      </c>
      <c r="J231" t="s">
        <v>1088</v>
      </c>
      <c r="K231" s="216" t="s">
        <v>3913</v>
      </c>
      <c r="M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"OCCULT_KNIGHT", "ARCANE_SWINDLER", "WIZARD"]
   }</v>
      </c>
    </row>
    <row r="232" spans="1:13">
      <c r="A232">
        <v>3</v>
      </c>
      <c r="B232" t="s">
        <v>2063</v>
      </c>
      <c r="D232" t="s">
        <v>2064</v>
      </c>
      <c r="E232" t="s">
        <v>1155</v>
      </c>
      <c r="F232" t="s">
        <v>1086</v>
      </c>
      <c r="G232" t="s">
        <v>1073</v>
      </c>
      <c r="I232" t="s">
        <v>2065</v>
      </c>
      <c r="J232" t="s">
        <v>1082</v>
      </c>
      <c r="K232" s="216" t="s">
        <v>3922</v>
      </c>
      <c r="M232" t="str">
        <f t="shared" si="3"/>
        <v>"Mur de sable": {
  "Name" : "Mur de sable",
  "OV" : "Wall of Sand",
  "Level" : 3,
  "BBE" : "",
  "School" : "Évocation",
  "Incantation" : "1 action",
  "Type" : "Concentration",
  "Description" : "Crée un mur de sable de 9 x 3 x 3 m qui bloque la vue (aveuglé) mais pas les mouvements.",
  "Classes" :["MAGICIAN", "OCCULT_KNIGHT", "ARCANE_SWINDLER"]
   }</v>
      </c>
    </row>
    <row r="233" spans="1:13">
      <c r="A233">
        <v>3</v>
      </c>
      <c r="B233" t="s">
        <v>2066</v>
      </c>
      <c r="D233" t="s">
        <v>2067</v>
      </c>
      <c r="E233" t="s">
        <v>1155</v>
      </c>
      <c r="F233" t="s">
        <v>1086</v>
      </c>
      <c r="G233" t="s">
        <v>1073</v>
      </c>
      <c r="I233" t="s">
        <v>2068</v>
      </c>
      <c r="J233" t="s">
        <v>1088</v>
      </c>
      <c r="K233" s="216" t="s">
        <v>2939</v>
      </c>
      <c r="M233" t="str">
        <f t="shared" si="3"/>
        <v>"Mur de vent": {
  "Name" : "Mur de vent",
  "OV" : "Wind Wall",
  "Level" : 3,
  "BBE" : "",
  "School" : "Évocation",
  "Incantation" : "1 action",
  "Type" : "Concentration",
  "Description" : "Crée un mur de vent de 15 m x 4,50 m x 30 cm. Flèches et carreaux sont détournés.",
  "Classes" :["DRUID", "PROWLER"]
   }</v>
      </c>
    </row>
    <row r="234" spans="1:13">
      <c r="A234">
        <v>3</v>
      </c>
      <c r="B234" t="s">
        <v>2042</v>
      </c>
      <c r="D234" t="s">
        <v>2043</v>
      </c>
      <c r="E234" t="s">
        <v>1155</v>
      </c>
      <c r="F234" t="s">
        <v>1086</v>
      </c>
      <c r="G234" t="s">
        <v>1073</v>
      </c>
      <c r="I234" t="s">
        <v>2044</v>
      </c>
      <c r="J234" t="s">
        <v>1082</v>
      </c>
      <c r="K234" s="216" t="s">
        <v>3916</v>
      </c>
      <c r="M234" t="str">
        <f t="shared" si="3"/>
        <v>"Mur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"OCCULT_KNIGHT", "ARCANE_SWINDLER"]
   }</v>
      </c>
    </row>
    <row r="235" spans="1:13">
      <c r="A235">
        <v>3</v>
      </c>
      <c r="B235" t="s">
        <v>2078</v>
      </c>
      <c r="D235" t="s">
        <v>2079</v>
      </c>
      <c r="E235" t="s">
        <v>1079</v>
      </c>
      <c r="F235" t="s">
        <v>1086</v>
      </c>
      <c r="I235" t="s">
        <v>2080</v>
      </c>
      <c r="J235" t="s">
        <v>1088</v>
      </c>
      <c r="K235" s="216" t="s">
        <v>3938</v>
      </c>
      <c r="M235" t="str">
        <f t="shared" si="3"/>
        <v>"Non-détection": {
  "Name" : "Non-détection",
  "OV" : "Nondetection",
  "Level" : 3,
  "BBE" : "",
  "School" : "Abjuration",
  "Incantation" : "1 action",
  "Type" : "",
  "Description" : "Protège une créature ou un objet de toute divination ou détection magique.",
  "Classes" :["BARD", "MAGICIAN", "OCCULT_KNIGHT", "ARCANE_SWINDLER", "PROWLER"]
   }</v>
      </c>
    </row>
    <row r="236" spans="1:13">
      <c r="A236">
        <v>3</v>
      </c>
      <c r="B236" t="s">
        <v>2087</v>
      </c>
      <c r="D236" t="s">
        <v>2088</v>
      </c>
      <c r="E236" t="s">
        <v>1098</v>
      </c>
      <c r="F236" t="s">
        <v>1086</v>
      </c>
      <c r="G236" t="s">
        <v>1073</v>
      </c>
      <c r="I236" t="s">
        <v>2089</v>
      </c>
      <c r="J236" t="s">
        <v>1088</v>
      </c>
      <c r="K236" s="216" t="s">
        <v>5638</v>
      </c>
      <c r="M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"OCCULT_KNIGHT", "ARCANE_SWINDLER", "FIENDISH"]
   }</v>
      </c>
    </row>
    <row r="237" spans="1:13">
      <c r="A237">
        <v>3</v>
      </c>
      <c r="B237" t="s">
        <v>2121</v>
      </c>
      <c r="D237" t="s">
        <v>2122</v>
      </c>
      <c r="E237" t="s">
        <v>1098</v>
      </c>
      <c r="F237" t="s">
        <v>1086</v>
      </c>
      <c r="I237" t="s">
        <v>2123</v>
      </c>
      <c r="J237" t="s">
        <v>1082</v>
      </c>
      <c r="K237" s="216" t="s">
        <v>3915</v>
      </c>
      <c r="M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"OCCULT_KNIGHT", "ARCANE_SWINDLER", "WIZARD"]
   }</v>
      </c>
    </row>
    <row r="238" spans="1:13">
      <c r="A238">
        <v>3</v>
      </c>
      <c r="B238" t="s">
        <v>2148</v>
      </c>
      <c r="D238" t="s">
        <v>2149</v>
      </c>
      <c r="E238" t="s">
        <v>1155</v>
      </c>
      <c r="F238" t="s">
        <v>1094</v>
      </c>
      <c r="H238" t="s">
        <v>1074</v>
      </c>
      <c r="I238" t="s">
        <v>2150</v>
      </c>
      <c r="J238" t="s">
        <v>1088</v>
      </c>
      <c r="K238" s="216" t="s">
        <v>3923</v>
      </c>
      <c r="M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"OCCULT_KNIGHT", "ARCANE_SWINDLER"]
   }</v>
      </c>
    </row>
    <row r="239" spans="1:13">
      <c r="A239">
        <v>3</v>
      </c>
      <c r="B239" t="s">
        <v>2154</v>
      </c>
      <c r="D239" t="s">
        <v>2155</v>
      </c>
      <c r="E239" t="s">
        <v>1128</v>
      </c>
      <c r="F239" t="s">
        <v>1086</v>
      </c>
      <c r="G239" t="s">
        <v>1073</v>
      </c>
      <c r="I239" t="s">
        <v>2156</v>
      </c>
      <c r="J239" t="s">
        <v>1088</v>
      </c>
      <c r="K239" s="216" t="s">
        <v>3913</v>
      </c>
      <c r="M239" t="str">
        <f t="shared" si="3"/>
        <v>"Peur": {
  "Name" : "Peur",
  "OV" : "Fear",
  "Level" : 3,
  "BBE" : "",
  "School" : "Illusion",
  "Incantation" : "1 action",
  "Type" : "Concentration",
  "Description" : "Les créatures dans un cône de 9 m doivent réussir un JdS de Sag. ou lâcher ce qu'elles tiennent, être effrayées et s'enfuir.",
  "Classes" :["BARD", "SORCERER", "MAGICIAN", "OCCULT_KNIGHT", "ARCANE_SWINDLER", "WIZARD"]
   }</v>
      </c>
    </row>
    <row r="240" spans="1:13">
      <c r="A240">
        <v>3</v>
      </c>
      <c r="B240" t="s">
        <v>2221</v>
      </c>
      <c r="C240" t="s">
        <v>2222</v>
      </c>
      <c r="D240" t="s">
        <v>2223</v>
      </c>
      <c r="E240" t="s">
        <v>1079</v>
      </c>
      <c r="F240" t="s">
        <v>1086</v>
      </c>
      <c r="G240" t="s">
        <v>1073</v>
      </c>
      <c r="I240" t="s">
        <v>2224</v>
      </c>
      <c r="J240" t="s">
        <v>1088</v>
      </c>
      <c r="K240" s="216" t="s">
        <v>6006</v>
      </c>
      <c r="M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:["ARTIFICER",  "CLERK", "DRUID", "SORCERER", "MAGICIAN", "OCCULT_KNIGHT", "ARCANE_SWINDLER", "PROWLER"]
   }</v>
      </c>
    </row>
    <row r="241" spans="1:13">
      <c r="A241">
        <v>3</v>
      </c>
      <c r="B241" t="s">
        <v>2270</v>
      </c>
      <c r="D241" t="s">
        <v>2271</v>
      </c>
      <c r="E241" t="s">
        <v>1098</v>
      </c>
      <c r="F241" t="s">
        <v>1086</v>
      </c>
      <c r="I241" t="s">
        <v>2272</v>
      </c>
      <c r="J241" t="s">
        <v>1082</v>
      </c>
      <c r="K241" s="216" t="s">
        <v>3916</v>
      </c>
      <c r="M241" t="str">
        <f t="shared" si="3"/>
        <v>"Raz-de-marée":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"OCCULT_KNIGHT", "ARCANE_SWINDLER"]
   }</v>
      </c>
    </row>
    <row r="242" spans="1:13">
      <c r="A242">
        <v>3</v>
      </c>
      <c r="B242" t="s">
        <v>2273</v>
      </c>
      <c r="C242" t="s">
        <v>2274</v>
      </c>
      <c r="D242" t="s">
        <v>2275</v>
      </c>
      <c r="E242" t="s">
        <v>1121</v>
      </c>
      <c r="F242" t="s">
        <v>1086</v>
      </c>
      <c r="I242" t="s">
        <v>2276</v>
      </c>
      <c r="J242" t="s">
        <v>1088</v>
      </c>
      <c r="K242" s="216" t="s">
        <v>6002</v>
      </c>
      <c r="M242" t="str">
        <f t="shared" si="3"/>
        <v>"Réanimation": {
  "Name" : "Réanimation",
  "OV" : "Revivify",
  "Level" : 3,
  "BBE" : "Revigorer",
  "School" : "Nécromancie",
  "Incantation" : "1 action",
  "Type" : "",
  "Description" : "Ramène à 1 pv une créature morte depuis 1 minute ou moins (sauf vieillesse).",
  "Classes" :["ARTIFICER",  "CLERK", "PALADIN"]
   }</v>
      </c>
    </row>
    <row r="243" spans="1:13">
      <c r="A243">
        <v>3</v>
      </c>
      <c r="B243" t="s">
        <v>2297</v>
      </c>
      <c r="D243" t="s">
        <v>2298</v>
      </c>
      <c r="E243" t="s">
        <v>1085</v>
      </c>
      <c r="F243" t="s">
        <v>1086</v>
      </c>
      <c r="H243" t="s">
        <v>1074</v>
      </c>
      <c r="I243" t="s">
        <v>2299</v>
      </c>
      <c r="J243" t="s">
        <v>1088</v>
      </c>
      <c r="K243" s="216" t="s">
        <v>5989</v>
      </c>
      <c r="M243" t="str">
        <f t="shared" si="3"/>
        <v>"Respiration aquatique": {
  "Name" : "Respiration aquatique",
  "OV" : "Water Breathing",
  "Level" : 3,
  "BBE" : "",
  "School" : "Transmutation",
  "Incantation" : "1 action",
  "Type" : "Rituel",
  "Description" : "Jusqu'à 10 créatures obtiennent la capacité de respirer sous l'eau.",
  "Classes" :["ARTIFICER", "DRUID", "SORCERER", "MAGICIAN", "OCCULT_KNIGHT", "ARCANE_SWINDLER", "PROWLER"]
   }</v>
      </c>
    </row>
    <row r="244" spans="1:13">
      <c r="A244">
        <v>3</v>
      </c>
      <c r="B244" t="s">
        <v>2364</v>
      </c>
      <c r="D244" t="s">
        <v>2365</v>
      </c>
      <c r="E244" t="s">
        <v>1085</v>
      </c>
      <c r="F244" t="s">
        <v>1094</v>
      </c>
      <c r="I244" t="s">
        <v>2366</v>
      </c>
      <c r="J244" t="s">
        <v>1082</v>
      </c>
      <c r="K244" s="216" t="s">
        <v>5983</v>
      </c>
      <c r="M244" t="str">
        <f t="shared" si="3"/>
        <v>"Serviteur miniature": {
  "Name" : "Serviteur miniature",
  "OV" : "Tiny Servant",
  "Level" : 3,
  "BBE" : "",
  "School" : "Transmutation",
  "Incantation" : "1 minute",
  "Type" : "",
  "Description" : "Transforme un objet de taille TP en une créature avec bras et jambes qui obéit au lanceur (+2 objets/niv).",
  "Classes" :["ARTIFICER", "MAGICIAN", "OCCULT_KNIGHT", "ARCANE_SWINDLER"]
   }</v>
      </c>
    </row>
    <row r="245" spans="1:13">
      <c r="A245">
        <v>3</v>
      </c>
      <c r="B245" t="s">
        <v>2367</v>
      </c>
      <c r="D245" t="s">
        <v>2368</v>
      </c>
      <c r="E245" t="s">
        <v>1109</v>
      </c>
      <c r="F245" t="s">
        <v>1086</v>
      </c>
      <c r="I245" t="s">
        <v>2369</v>
      </c>
      <c r="J245" t="s">
        <v>1082</v>
      </c>
      <c r="K245" s="216" t="s">
        <v>5974</v>
      </c>
      <c r="M245" t="str">
        <f t="shared" si="3"/>
        <v>"Sieste": {
  "Name" : "Sieste",
  "OV" : "Catnap",
  "Level" : 3,
  "BBE" : "",
  "School" : "Enchantement",
  "Incantation" : "1 action",
  "Type" : "",
  "Description" : "3 créatures consentantes tombent inconcientes et bénéficient d'un repos court (+1 créature/niv).",
  "Classes" :["ARTIFICER", "BARD", "SORCERER", "MAGICIAN", "OCCULT_KNIGHT", "ARCANE_SWINDLER"]
   }</v>
      </c>
    </row>
    <row r="246" spans="1:13">
      <c r="A246">
        <v>3</v>
      </c>
      <c r="B246" t="s">
        <v>2442</v>
      </c>
      <c r="D246" t="s">
        <v>2443</v>
      </c>
      <c r="E246" t="s">
        <v>1098</v>
      </c>
      <c r="F246" t="s">
        <v>1086</v>
      </c>
      <c r="G246" t="s">
        <v>1073</v>
      </c>
      <c r="I246" t="s">
        <v>2444</v>
      </c>
      <c r="J246" t="s">
        <v>1088</v>
      </c>
      <c r="K246" s="216" t="s">
        <v>3916</v>
      </c>
      <c r="M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"OCCULT_KNIGHT", "ARCANE_SWINDLER"]
   }</v>
      </c>
    </row>
    <row r="247" spans="1:13">
      <c r="A247">
        <v>3</v>
      </c>
      <c r="B247" t="s">
        <v>2480</v>
      </c>
      <c r="C247" t="s">
        <v>2481</v>
      </c>
      <c r="D247" t="s">
        <v>2482</v>
      </c>
      <c r="E247" t="s">
        <v>1121</v>
      </c>
      <c r="F247" t="s">
        <v>1086</v>
      </c>
      <c r="G247" t="s">
        <v>1073</v>
      </c>
      <c r="I247" t="s">
        <v>2483</v>
      </c>
      <c r="J247" t="s">
        <v>1088</v>
      </c>
      <c r="K247" s="216" t="s">
        <v>3919</v>
      </c>
      <c r="M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"OCCULT_KNIGHT", "ARCANE_SWINDLER", "WIZARD"]
   }</v>
      </c>
    </row>
    <row r="248" spans="1:13">
      <c r="A248">
        <v>3</v>
      </c>
      <c r="B248" t="s">
        <v>2493</v>
      </c>
      <c r="D248" t="s">
        <v>2494</v>
      </c>
      <c r="E248" t="s">
        <v>1121</v>
      </c>
      <c r="F248" t="s">
        <v>1086</v>
      </c>
      <c r="I248" t="s">
        <v>2495</v>
      </c>
      <c r="J248" t="s">
        <v>1082</v>
      </c>
      <c r="K248" s="216" t="s">
        <v>3930</v>
      </c>
      <c r="M248" t="str">
        <f t="shared" si="3"/>
        <v>"Transfert de vie": {
  "Name" : "Transfert de vie",
  "OV" : "Life Transference",
  "Level" : 3,
  "BBE" : "",
  "School" : "Nécromancie",
  "Incantation" : "1 action",
  "Type" : "",
  "Description" : "Le lanceur subit 4d8 dégâts nécrotiques et une autre créature récupère 2 fois le montant (+1d8 pv/niv).",
  "Classes" :[ "CLERK", "MAGICIAN", "OCCULT_KNIGHT", "ARCANE_SWINDLER"]
   }</v>
      </c>
    </row>
    <row r="249" spans="1:13">
      <c r="A249">
        <v>3</v>
      </c>
      <c r="B249" t="s">
        <v>2537</v>
      </c>
      <c r="D249" t="s">
        <v>2538</v>
      </c>
      <c r="E249" t="s">
        <v>1085</v>
      </c>
      <c r="F249" t="s">
        <v>1086</v>
      </c>
      <c r="G249" t="s">
        <v>1073</v>
      </c>
      <c r="I249" t="s">
        <v>2539</v>
      </c>
      <c r="J249" t="s">
        <v>1088</v>
      </c>
      <c r="K249" s="216" t="s">
        <v>5988</v>
      </c>
      <c r="M249" t="str">
        <f t="shared" si="3"/>
        <v>"Vol": {
  "Name" : "Vol",
  "OV" : "Fly",
  "Level" : 3,
  "BBE" : "",
  "School" : "Transmutation",
  "Incantation" : "1 action",
  "Type" : "Concentration",
  "Description" : "La cible obtient une vitesse de vol de 18 mètres (+1 créature/niv).",
  "Classes" :["ARTIFICER", "SORCERER", "MAGICIAN", "OCCULT_KNIGHT", "ARCANE_SWINDLER", "WIZARD"]
   }</v>
      </c>
    </row>
    <row r="250" spans="1:13">
      <c r="A250">
        <v>4</v>
      </c>
      <c r="B250" t="s">
        <v>1141</v>
      </c>
      <c r="C250" t="s">
        <v>1142</v>
      </c>
      <c r="D250" t="s">
        <v>1143</v>
      </c>
      <c r="E250" t="s">
        <v>1098</v>
      </c>
      <c r="F250" t="s">
        <v>1099</v>
      </c>
      <c r="I250" t="s">
        <v>1144</v>
      </c>
      <c r="J250" t="s">
        <v>1082</v>
      </c>
      <c r="K250" s="216" t="s">
        <v>2934</v>
      </c>
      <c r="M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v>
      </c>
    </row>
    <row r="251" spans="1:13">
      <c r="A251">
        <v>4</v>
      </c>
      <c r="B251" t="s">
        <v>1174</v>
      </c>
      <c r="D251" t="s">
        <v>1175</v>
      </c>
      <c r="E251" t="s">
        <v>1128</v>
      </c>
      <c r="F251" t="s">
        <v>1086</v>
      </c>
      <c r="G251" t="s">
        <v>1073</v>
      </c>
      <c r="I251" t="s">
        <v>1176</v>
      </c>
      <c r="J251" t="s">
        <v>1088</v>
      </c>
      <c r="K251" s="216" t="s">
        <v>3922</v>
      </c>
      <c r="M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"OCCULT_KNIGHT", "ARCANE_SWINDLER"]
   }</v>
      </c>
    </row>
    <row r="252" spans="1:13">
      <c r="A252">
        <v>4</v>
      </c>
      <c r="B252" t="s">
        <v>1190</v>
      </c>
      <c r="D252" t="s">
        <v>1191</v>
      </c>
      <c r="E252" t="s">
        <v>1079</v>
      </c>
      <c r="F252" t="s">
        <v>1086</v>
      </c>
      <c r="G252" t="s">
        <v>1073</v>
      </c>
      <c r="I252" t="s">
        <v>1192</v>
      </c>
      <c r="J252" t="s">
        <v>1148</v>
      </c>
      <c r="K252" s="216" t="s">
        <v>2934</v>
      </c>
      <c r="M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v>
      </c>
    </row>
    <row r="253" spans="1:13">
      <c r="A253">
        <v>4</v>
      </c>
      <c r="B253" t="s">
        <v>1193</v>
      </c>
      <c r="D253" t="s">
        <v>1194</v>
      </c>
      <c r="E253" t="s">
        <v>1079</v>
      </c>
      <c r="F253" t="s">
        <v>1086</v>
      </c>
      <c r="G253" t="s">
        <v>1073</v>
      </c>
      <c r="I253" t="s">
        <v>1195</v>
      </c>
      <c r="J253" t="s">
        <v>1148</v>
      </c>
      <c r="K253" s="216" t="s">
        <v>2934</v>
      </c>
      <c r="M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v>
      </c>
    </row>
    <row r="254" spans="1:13">
      <c r="A254">
        <v>4</v>
      </c>
      <c r="B254" t="s">
        <v>1214</v>
      </c>
      <c r="D254" t="s">
        <v>1215</v>
      </c>
      <c r="E254" t="s">
        <v>1079</v>
      </c>
      <c r="F254" t="s">
        <v>1086</v>
      </c>
      <c r="G254" t="s">
        <v>1073</v>
      </c>
      <c r="I254" t="s">
        <v>1216</v>
      </c>
      <c r="J254" t="s">
        <v>1088</v>
      </c>
      <c r="K254" s="216" t="s">
        <v>3939</v>
      </c>
      <c r="M254" t="str">
        <f t="shared" si="3"/>
        <v>"Bannissement": {
  "Name" : "Bannissement",
  "OV" : "Banishment",
  "Level" : 4,
  "BBE" : "",
  "School" : "Abjuration",
  "Incantation" : "1 action",
  "Type" : "Concentration",
  "Description" : "La cible doit réussir un JdS de Cha. ou être envoyée sur un demi-plan non-dangereux (+1 créature/niv).",
  "Classes" :[ "CLERK", "SORCERER", "MAGICIAN", "OCCULT_KNIGHT", "ARCANE_SWINDLER", "PALADIN", "WIZARD"]
   }</v>
      </c>
    </row>
    <row r="255" spans="1:13">
      <c r="A255">
        <v>4</v>
      </c>
      <c r="B255" t="s">
        <v>1233</v>
      </c>
      <c r="D255" t="s">
        <v>1234</v>
      </c>
      <c r="E255" t="s">
        <v>1155</v>
      </c>
      <c r="F255" t="s">
        <v>1086</v>
      </c>
      <c r="I255" t="s">
        <v>1235</v>
      </c>
      <c r="J255" t="s">
        <v>1088</v>
      </c>
      <c r="K255" s="216" t="s">
        <v>5639</v>
      </c>
      <c r="M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"Classes" :["MAGICIAN", "OCCULT_KNIGHT", "ARCANE_SWINDLER", "FIENDISH"]
   }</v>
      </c>
    </row>
    <row r="256" spans="1:13">
      <c r="A256">
        <v>4</v>
      </c>
      <c r="B256" t="s">
        <v>1291</v>
      </c>
      <c r="D256" t="s">
        <v>1292</v>
      </c>
      <c r="E256" t="s">
        <v>1109</v>
      </c>
      <c r="F256" t="s">
        <v>1086</v>
      </c>
      <c r="I256" t="s">
        <v>1293</v>
      </c>
      <c r="J256" t="s">
        <v>1082</v>
      </c>
      <c r="K256" s="216" t="s">
        <v>3917</v>
      </c>
      <c r="M256" t="str">
        <f t="shared" si="3"/>
        <v>"Charme-monstre": {
  "Name" : "Charme-monstre",
  "OV" : "Charm Monster",
  "Level" : 4,
  "BBE" : "",
  "School" : "Enchantement",
  "Incantation" : "1 action",
  "Type" : "",
  "Description" : "La cible doit réussir un JdS de Sag. ou être charmée par le lanceur (+1 créature/niv).",
  "Classes" :["BARD", "DRUID", "SORCERER", "MAGICIAN", "OCCULT_KNIGHT", "ARCANE_SWINDLER", "WIZARD"]
   }</v>
      </c>
    </row>
    <row r="257" spans="1:13">
      <c r="A257">
        <v>4</v>
      </c>
      <c r="B257" t="s">
        <v>1301</v>
      </c>
      <c r="C257" t="s">
        <v>1302</v>
      </c>
      <c r="D257" t="s">
        <v>1303</v>
      </c>
      <c r="E257" t="s">
        <v>1155</v>
      </c>
      <c r="F257" t="s">
        <v>1151</v>
      </c>
      <c r="G257" t="s">
        <v>1073</v>
      </c>
      <c r="I257" t="s">
        <v>1304</v>
      </c>
      <c r="J257" t="s">
        <v>1148</v>
      </c>
      <c r="K257" s="216" t="s">
        <v>2934</v>
      </c>
      <c r="M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v>
      </c>
    </row>
    <row r="258" spans="1:13">
      <c r="A258">
        <v>4</v>
      </c>
      <c r="B258" t="s">
        <v>1325</v>
      </c>
      <c r="D258" t="s">
        <v>1326</v>
      </c>
      <c r="E258" t="s">
        <v>1098</v>
      </c>
      <c r="F258" t="s">
        <v>1086</v>
      </c>
      <c r="I258" t="s">
        <v>1327</v>
      </c>
      <c r="J258" t="s">
        <v>1088</v>
      </c>
      <c r="K258" s="216" t="s">
        <v>5983</v>
      </c>
      <c r="M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:["ARTIFICER", "MAGICIAN", "OCCULT_KNIGHT", "ARCANE_SWINDLER"]
   }</v>
      </c>
    </row>
    <row r="259" spans="1:13">
      <c r="A259">
        <v>4</v>
      </c>
      <c r="B259" t="s">
        <v>1335</v>
      </c>
      <c r="D259" t="s">
        <v>1336</v>
      </c>
      <c r="E259" t="s">
        <v>1098</v>
      </c>
      <c r="F259" t="s">
        <v>1086</v>
      </c>
      <c r="I259" t="s">
        <v>1337</v>
      </c>
      <c r="J259" t="s">
        <v>1088</v>
      </c>
      <c r="K259" s="216" t="s">
        <v>5983</v>
      </c>
      <c r="M259" t="str">
        <f t="shared" ref="M259:M322" si="4">""""&amp;B259&amp;""": {
  ""Name"" : """&amp;B259&amp;""",
  ""OV"" : """&amp;D259&amp;""",
  ""Level"" : "&amp;A259&amp;",
  ""BBE"" : """&amp;C259&amp;""",
  ""School"" : """&amp;PROPER(E259)&amp;""",
  ""Incantation"" : """&amp;F259&amp;""",
  ""Type"" : """&amp;TRIM(G259&amp;" "&amp;H259)&amp;""",
  ""Description"" : """&amp;I259&amp;""",
  ""Classes"" :["&amp;K259&amp;"]
   }"</f>
        <v>"Coffre secret de Léomund": {
  "Name" : "Coffre secret de Léomund",
  "OV" : "Leomund's Secret Chest",
  "Level" : 4,
  "BBE" : "",
  "School" : "Invocation",
  "Incantation" : "1 action",
  "Type" : "",
  "Description" : "Cache un coffre (90 x 60 x 60 cm) et son contenu dans le plan éthéré.",
  "Classes" :["ARTIFICER", "MAGICIAN", "OCCULT_KNIGHT", "ARCANE_SWINDLER"]
   }</v>
      </c>
    </row>
    <row r="260" spans="1:13">
      <c r="A260">
        <v>4</v>
      </c>
      <c r="B260" t="s">
        <v>1366</v>
      </c>
      <c r="D260" t="s">
        <v>1366</v>
      </c>
      <c r="E260" t="s">
        <v>1109</v>
      </c>
      <c r="F260" t="s">
        <v>1086</v>
      </c>
      <c r="G260" t="s">
        <v>1073</v>
      </c>
      <c r="I260" t="s">
        <v>1367</v>
      </c>
      <c r="J260" t="s">
        <v>1088</v>
      </c>
      <c r="K260" s="216" t="s">
        <v>2920</v>
      </c>
      <c r="M260" t="str">
        <f t="shared" si="4"/>
        <v>"Compulsion": {
  "Name" : "Compulsion",
  "OV" : "Compulsion",
  "Level" : 4,
  "BBE" : "",
  "School" : "Enchantement",
  "Incantation" : "1 action",
  "Type" : "Concentration",
  "Description" : "Les cibles à 9 m doivent réussir un JdS de Sag. ou se déplacer dans une direction indiquée.",
  "Classes" :["BARD"]
   }</v>
      </c>
    </row>
    <row r="261" spans="1:13">
      <c r="A261">
        <v>4</v>
      </c>
      <c r="B261" t="s">
        <v>1371</v>
      </c>
      <c r="D261" t="s">
        <v>1371</v>
      </c>
      <c r="E261" t="s">
        <v>1109</v>
      </c>
      <c r="F261" t="s">
        <v>1086</v>
      </c>
      <c r="G261" t="s">
        <v>1073</v>
      </c>
      <c r="I261" t="s">
        <v>1372</v>
      </c>
      <c r="J261" t="s">
        <v>1088</v>
      </c>
      <c r="K261" s="216" t="s">
        <v>3926</v>
      </c>
      <c r="M261" t="str">
        <f t="shared" si="4"/>
        <v>"Confusion":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"OCCULT_KNIGHT", "ARCANE_SWINDLER"]
   }</v>
      </c>
    </row>
    <row r="262" spans="1:13">
      <c r="A262">
        <v>4</v>
      </c>
      <c r="B262" t="s">
        <v>1392</v>
      </c>
      <c r="D262" t="s">
        <v>1393</v>
      </c>
      <c r="E262" t="s">
        <v>1085</v>
      </c>
      <c r="F262" t="s">
        <v>1086</v>
      </c>
      <c r="G262" t="s">
        <v>1073</v>
      </c>
      <c r="I262" t="s">
        <v>1394</v>
      </c>
      <c r="J262" t="s">
        <v>1088</v>
      </c>
      <c r="K262" s="216" t="s">
        <v>3940</v>
      </c>
      <c r="M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"OCCULT_KNIGHT", "ARCANE_SWINDLER"]
   }</v>
      </c>
    </row>
    <row r="263" spans="1:13">
      <c r="A263">
        <v>4</v>
      </c>
      <c r="B263" t="s">
        <v>1513</v>
      </c>
      <c r="D263" t="s">
        <v>1513</v>
      </c>
      <c r="E263" t="s">
        <v>1179</v>
      </c>
      <c r="F263" t="s">
        <v>1086</v>
      </c>
      <c r="H263" t="s">
        <v>1074</v>
      </c>
      <c r="I263" t="s">
        <v>1514</v>
      </c>
      <c r="J263" t="s">
        <v>1088</v>
      </c>
      <c r="K263" s="216" t="s">
        <v>2923</v>
      </c>
      <c r="M263" t="str">
        <f t="shared" si="4"/>
        <v>"Divination": {
  "Name" : "Divination",
  "OV" : "Divination",
  "Level" : 4,
  "BBE" : "",
  "School" : "Divination",
  "Incantation" : "1 action",
  "Type" : "Rituel",
  "Description" : "Le lanceur obtient une réponse fiable à 1 question au sujet d'un évènement à venir dans les 7 prochains jours.",
  "Classes" :[ "CLERK"]
   }</v>
      </c>
    </row>
    <row r="264" spans="1:13">
      <c r="A264">
        <v>4</v>
      </c>
      <c r="B264" t="s">
        <v>1522</v>
      </c>
      <c r="C264" t="s">
        <v>1523</v>
      </c>
      <c r="D264" t="s">
        <v>1524</v>
      </c>
      <c r="E264" t="s">
        <v>1109</v>
      </c>
      <c r="F264" t="s">
        <v>1086</v>
      </c>
      <c r="G264" t="s">
        <v>1073</v>
      </c>
      <c r="I264" t="s">
        <v>1525</v>
      </c>
      <c r="J264" t="s">
        <v>1088</v>
      </c>
      <c r="K264" s="216" t="s">
        <v>5648</v>
      </c>
      <c r="M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"ARCHFAIRY", "GREAT_OLD"]
   }</v>
      </c>
    </row>
    <row r="265" spans="1:13">
      <c r="A265">
        <v>4</v>
      </c>
      <c r="B265" t="s">
        <v>1613</v>
      </c>
      <c r="D265" t="s">
        <v>1614</v>
      </c>
      <c r="E265" t="s">
        <v>1085</v>
      </c>
      <c r="F265" t="s">
        <v>1099</v>
      </c>
      <c r="I265" t="s">
        <v>1615</v>
      </c>
      <c r="J265" t="s">
        <v>1088</v>
      </c>
      <c r="K265" s="216" t="s">
        <v>5983</v>
      </c>
      <c r="M265" t="str">
        <f t="shared" si="4"/>
        <v>"Fabrication": {
  "Name" : "Fabrication",
  "OV" : "Fabricate",
  "Level" : 4,
  "BBE" : "",
  "School" : "Transmutation",
  "Incantation" : "10 minutes",
  "Type" : "",
  "Description" : "Convertit des matériaux bruts en objets simples de taille G ou inférieure de la même matière.",
  "Classes" :["ARTIFICER", "MAGICIAN", "OCCULT_KNIGHT", "ARCANE_SWINDLER"]
   }</v>
      </c>
    </row>
    <row r="266" spans="1:13">
      <c r="A266">
        <v>4</v>
      </c>
      <c r="B266" t="s">
        <v>1620</v>
      </c>
      <c r="D266" t="s">
        <v>1621</v>
      </c>
      <c r="E266" t="s">
        <v>1085</v>
      </c>
      <c r="F266" t="s">
        <v>1086</v>
      </c>
      <c r="I266" t="s">
        <v>1622</v>
      </c>
      <c r="J266" t="s">
        <v>1088</v>
      </c>
      <c r="K266" s="216" t="s">
        <v>6007</v>
      </c>
      <c r="M266" t="str">
        <f t="shared" si="4"/>
        <v>"Façonnage de la pierre": {
  "Name" : "Façonnage de la pierre",
  "OV" : "Stone Shape",
  "Level" : 4,
  "BBE" : "",
  "School" : "Transmutation",
  "Incantation" : "1 action",
  "Type" : "",
  "Description" : "Donne à un bloc de pierre de 1,50 m de côté n'importe quelle forme, ou y crée une ouverture.",
  "Classes" :["ARTIFICER",  "CLERK", "DRUID", "MAGICIAN", "OCCULT_KNIGHT", "ARCANE_SWINDLER"]
   }</v>
      </c>
    </row>
    <row r="267" spans="1:13">
      <c r="A267">
        <v>4</v>
      </c>
      <c r="B267" t="s">
        <v>1656</v>
      </c>
      <c r="D267" t="s">
        <v>1657</v>
      </c>
      <c r="E267" t="s">
        <v>1085</v>
      </c>
      <c r="F267" t="s">
        <v>1086</v>
      </c>
      <c r="G267" t="s">
        <v>1073</v>
      </c>
      <c r="I267" t="s">
        <v>1658</v>
      </c>
      <c r="J267" t="s">
        <v>1082</v>
      </c>
      <c r="K267" s="216" t="s">
        <v>6008</v>
      </c>
      <c r="M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"Classes" :["ARTIFICER", "DRUID", "MAGICIAN", "OCCULT_KNIGHT", "ARCANE_SWINDLER", "WIZARD"]
   }</v>
      </c>
    </row>
    <row r="268" spans="1:13">
      <c r="A268">
        <v>4</v>
      </c>
      <c r="B268" t="s">
        <v>1668</v>
      </c>
      <c r="D268" t="s">
        <v>1669</v>
      </c>
      <c r="E268" t="s">
        <v>1121</v>
      </c>
      <c r="F268" t="s">
        <v>1086</v>
      </c>
      <c r="I268" t="s">
        <v>1670</v>
      </c>
      <c r="J268" t="s">
        <v>1088</v>
      </c>
      <c r="K268" s="216" t="s">
        <v>3918</v>
      </c>
      <c r="M268" t="str">
        <f t="shared" si="4"/>
        <v>"Flétrissement": {
  "Name" : "Flétrissement",
  "OV" : "Blight",
  "Level" : 4,
  "BBE" : "",
  "School" : "Nécromancie",
  "Incantation" : "1 action",
  "Type" : "",
  "Description" : "La cible doit réussir un JdS de Con. ou subir 8d8 dégâts nécrotiques (dégâts/niv).",
  "Classes" :["DRUID", "SORCERER", "MAGICIAN", "OCCULT_KNIGHT", "ARCANE_SWINDLER", "WIZARD"]
   }</v>
      </c>
    </row>
    <row r="269" spans="1:13">
      <c r="A269">
        <v>4</v>
      </c>
      <c r="B269" t="s">
        <v>1726</v>
      </c>
      <c r="D269" t="s">
        <v>1727</v>
      </c>
      <c r="E269" t="s">
        <v>1098</v>
      </c>
      <c r="F269" t="s">
        <v>1086</v>
      </c>
      <c r="I269" t="s">
        <v>1728</v>
      </c>
      <c r="J269" t="s">
        <v>1088</v>
      </c>
      <c r="K269" s="216" t="s">
        <v>2923</v>
      </c>
      <c r="M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270" spans="1:13">
      <c r="A270">
        <v>4</v>
      </c>
      <c r="B270" t="s">
        <v>1729</v>
      </c>
      <c r="D270" t="s">
        <v>1730</v>
      </c>
      <c r="E270" t="s">
        <v>1085</v>
      </c>
      <c r="F270" t="s">
        <v>1151</v>
      </c>
      <c r="G270" t="s">
        <v>1073</v>
      </c>
      <c r="I270" t="s">
        <v>1731</v>
      </c>
      <c r="J270" t="s">
        <v>1082</v>
      </c>
      <c r="K270" s="216" t="s">
        <v>2939</v>
      </c>
      <c r="M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v>
      </c>
    </row>
    <row r="271" spans="1:13">
      <c r="A271">
        <v>4</v>
      </c>
      <c r="B271" t="s">
        <v>1804</v>
      </c>
      <c r="D271" t="s">
        <v>1805</v>
      </c>
      <c r="E271" t="s">
        <v>1085</v>
      </c>
      <c r="F271" t="s">
        <v>1086</v>
      </c>
      <c r="G271" t="s">
        <v>1073</v>
      </c>
      <c r="I271" t="s">
        <v>1806</v>
      </c>
      <c r="J271" t="s">
        <v>1088</v>
      </c>
      <c r="K271" s="216" t="s">
        <v>2926</v>
      </c>
      <c r="M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"Classes" :["DRUID"]
   }</v>
      </c>
    </row>
    <row r="272" spans="1:13">
      <c r="A272">
        <v>4</v>
      </c>
      <c r="B272" t="s">
        <v>1816</v>
      </c>
      <c r="D272" t="s">
        <v>1817</v>
      </c>
      <c r="E272" t="s">
        <v>1128</v>
      </c>
      <c r="F272" t="s">
        <v>1086</v>
      </c>
      <c r="G272" t="s">
        <v>1073</v>
      </c>
      <c r="I272" t="s">
        <v>1818</v>
      </c>
      <c r="J272" t="s">
        <v>1088</v>
      </c>
      <c r="K272" s="216" t="s">
        <v>5632</v>
      </c>
      <c r="M272" t="str">
        <f t="shared" si="4"/>
        <v>"Invisibilité supérieure": {
  "Name" : "Invisibilité supérieure",
  "OV" : "Greater Invisibility",
  "Level" : 4,
  "BBE" : "",
  "School" : "Illusion",
  "Incantation" : "1 action",
  "Type" : "Concentration",
  "Description" : "La cible devient invisible durant 1 minute.",
  "Classes" :["BARD", "SORCERER", "MAGICIAN", "OCCULT_KNIGHT", "ARCANE_SWINDLER", "ARCHFAIRY"]
   }</v>
      </c>
    </row>
    <row r="273" spans="1:13">
      <c r="A273">
        <v>4</v>
      </c>
      <c r="B273" t="s">
        <v>1839</v>
      </c>
      <c r="D273" t="s">
        <v>1840</v>
      </c>
      <c r="E273" t="s">
        <v>1098</v>
      </c>
      <c r="F273" t="s">
        <v>1086</v>
      </c>
      <c r="G273" t="s">
        <v>1073</v>
      </c>
      <c r="I273" t="s">
        <v>1841</v>
      </c>
      <c r="J273" t="s">
        <v>1082</v>
      </c>
      <c r="K273" s="216" t="s">
        <v>3919</v>
      </c>
      <c r="M273" t="str">
        <f t="shared" si="4"/>
        <v>"Invocation de démon supérieur": {
  "Name" : "Invocation de démon supérieur",
  "OV" : "Summon Greater Demon",
  "Level" : 4,
  "BBE" : "",
  "School" : "Invocation",
  "Incantation" : "1 action",
  "Type" : "Concentration",
  "Description" : "Invoque de 1 démon FP 5 qui obéit aux ordres du lanceur (FP +1/niv).",
  "Classes" :["MAGICIAN", "OCCULT_KNIGHT", "ARCANE_SWINDLER", "WIZARD"]
   }</v>
      </c>
    </row>
    <row r="274" spans="1:13">
      <c r="A274">
        <v>4</v>
      </c>
      <c r="B274" t="s">
        <v>1827</v>
      </c>
      <c r="C274" t="s">
        <v>1828</v>
      </c>
      <c r="D274" t="s">
        <v>1829</v>
      </c>
      <c r="E274" t="s">
        <v>1098</v>
      </c>
      <c r="F274" t="s">
        <v>1094</v>
      </c>
      <c r="G274" t="s">
        <v>1073</v>
      </c>
      <c r="I274" t="s">
        <v>1830</v>
      </c>
      <c r="J274" t="s">
        <v>1088</v>
      </c>
      <c r="K274" s="216" t="s">
        <v>3933</v>
      </c>
      <c r="M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"OCCULT_KNIGHT", "ARCANE_SWINDLER"]
   }</v>
      </c>
    </row>
    <row r="275" spans="1:13">
      <c r="A275">
        <v>4</v>
      </c>
      <c r="B275" t="s">
        <v>1831</v>
      </c>
      <c r="C275" t="s">
        <v>1832</v>
      </c>
      <c r="D275" t="s">
        <v>1833</v>
      </c>
      <c r="E275" t="s">
        <v>1098</v>
      </c>
      <c r="F275" t="s">
        <v>1086</v>
      </c>
      <c r="G275" t="s">
        <v>1073</v>
      </c>
      <c r="I275" t="s">
        <v>1834</v>
      </c>
      <c r="J275" t="s">
        <v>1088</v>
      </c>
      <c r="K275" s="216" t="s">
        <v>2939</v>
      </c>
      <c r="M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v>
      </c>
    </row>
    <row r="276" spans="1:13">
      <c r="A276">
        <v>4</v>
      </c>
      <c r="B276" t="s">
        <v>1890</v>
      </c>
      <c r="D276" t="s">
        <v>1891</v>
      </c>
      <c r="E276" t="s">
        <v>1098</v>
      </c>
      <c r="F276" t="s">
        <v>1151</v>
      </c>
      <c r="G276" t="s">
        <v>1073</v>
      </c>
      <c r="I276" t="s">
        <v>1892</v>
      </c>
      <c r="J276" t="s">
        <v>1148</v>
      </c>
      <c r="K276" s="216" t="s">
        <v>2939</v>
      </c>
      <c r="M276" t="str">
        <f t="shared" si="4"/>
        <v>"Liane agrippeuse": {
  "Name" : "Liane agrippeuse",
  "OV" : "Grasping Vine",
  "Level" : 4,
  "BBE" : "",
  "School" : "Invocation",
  "Incantation" : "1 action bonus",
  "Type" : "Concentration",
  "Description" : "La cible doit réussir un JdS de Dex. ou être tirée sur 6 m par la liane.",
  "Classes" :["DRUID", "PROWLER"]
   }</v>
      </c>
    </row>
    <row r="277" spans="1:13">
      <c r="A277">
        <v>4</v>
      </c>
      <c r="B277" t="s">
        <v>1893</v>
      </c>
      <c r="D277" t="s">
        <v>1894</v>
      </c>
      <c r="E277" t="s">
        <v>1079</v>
      </c>
      <c r="F277" t="s">
        <v>1086</v>
      </c>
      <c r="I277" t="s">
        <v>1895</v>
      </c>
      <c r="J277" t="s">
        <v>1088</v>
      </c>
      <c r="K277" s="216" t="s">
        <v>6009</v>
      </c>
      <c r="M277" t="str">
        <f t="shared" si="4"/>
        <v>"Liberté de mouvement": {
  "Name" : "Liberté de mouvement",
  "OV" : "Freedom of Movement",
  "Level" : 4,
  "BBE" : "",
  "School" : "Abjuration",
  "Incantation" : "1 action",
  "Type" : "",
  "Description" : "La cible n'est pas affectée dans ses mouvements par un terrain difficile, un sort ou de l'eau.",
  "Classes" :["ARTIFICER", "BARD",  "CLERK", "DRUID", "PROWLER"]
   }</v>
      </c>
    </row>
    <row r="278" spans="1:13">
      <c r="A278">
        <v>4</v>
      </c>
      <c r="B278" t="s">
        <v>1914</v>
      </c>
      <c r="C278" t="s">
        <v>1915</v>
      </c>
      <c r="D278" t="s">
        <v>1916</v>
      </c>
      <c r="E278" t="s">
        <v>1179</v>
      </c>
      <c r="F278" t="s">
        <v>1086</v>
      </c>
      <c r="G278" t="s">
        <v>1073</v>
      </c>
      <c r="I278" t="s">
        <v>1917</v>
      </c>
      <c r="J278" t="s">
        <v>1088</v>
      </c>
      <c r="K278" s="216" t="s">
        <v>3932</v>
      </c>
      <c r="M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"OCCULT_KNIGHT", "ARCANE_SWINDLER", "PALADIN", "PROWLER"]
   }</v>
      </c>
    </row>
    <row r="279" spans="1:13">
      <c r="A279">
        <v>4</v>
      </c>
      <c r="B279" t="s">
        <v>1977</v>
      </c>
      <c r="D279" t="s">
        <v>1978</v>
      </c>
      <c r="E279" t="s">
        <v>1085</v>
      </c>
      <c r="F279" t="s">
        <v>1086</v>
      </c>
      <c r="G279" t="s">
        <v>1073</v>
      </c>
      <c r="I279" t="s">
        <v>1979</v>
      </c>
      <c r="J279" t="s">
        <v>1088</v>
      </c>
      <c r="K279" s="216" t="s">
        <v>3926</v>
      </c>
      <c r="M279" t="str">
        <f t="shared" si="4"/>
        <v>"Métamorphose":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"OCCULT_KNIGHT", "ARCANE_SWINDLER"]
   }</v>
      </c>
    </row>
    <row r="280" spans="1:13">
      <c r="A280">
        <v>4</v>
      </c>
      <c r="B280" t="s">
        <v>2048</v>
      </c>
      <c r="D280" t="s">
        <v>2049</v>
      </c>
      <c r="E280" t="s">
        <v>1155</v>
      </c>
      <c r="F280" t="s">
        <v>1086</v>
      </c>
      <c r="G280" t="s">
        <v>1073</v>
      </c>
      <c r="I280" t="s">
        <v>2050</v>
      </c>
      <c r="J280" t="s">
        <v>1088</v>
      </c>
      <c r="K280" s="216" t="s">
        <v>5640</v>
      </c>
      <c r="M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"OCCULT_KNIGHT", "ARCANE_SWINDLER", "FIENDISH"]
   }</v>
      </c>
    </row>
    <row r="281" spans="1:13">
      <c r="A281">
        <v>4</v>
      </c>
      <c r="B281" t="s">
        <v>2099</v>
      </c>
      <c r="D281" t="s">
        <v>2100</v>
      </c>
      <c r="E281" t="s">
        <v>1179</v>
      </c>
      <c r="F281" t="s">
        <v>1086</v>
      </c>
      <c r="G281" t="s">
        <v>1073</v>
      </c>
      <c r="I281" t="s">
        <v>2101</v>
      </c>
      <c r="J281" t="s">
        <v>1088</v>
      </c>
      <c r="K281" s="216" t="s">
        <v>5983</v>
      </c>
      <c r="M281" t="str">
        <f t="shared" si="4"/>
        <v>"Oeil magique": {
  "Name" : "Oeil magique",
  "OV" : "Arcane Eye",
  "Level" : 4,
  "BBE" : "",
  "School" : "Divination",
  "Incantation" : "1 action",
  "Type" : "Concentration",
  "Description" : "Crée un oeil invisible avec vision dans le noir qui envoie au lanceur l'image mentale de ce qu'il voit.",
  "Classes" :["ARTIFICER", "MAGICIAN", "OCCULT_KNIGHT", "ARCANE_SWINDLER"]
   }</v>
      </c>
    </row>
    <row r="282" spans="1:13">
      <c r="A282">
        <v>4</v>
      </c>
      <c r="B282" t="s">
        <v>2102</v>
      </c>
      <c r="D282" t="s">
        <v>2103</v>
      </c>
      <c r="E282" t="s">
        <v>1121</v>
      </c>
      <c r="F282" t="s">
        <v>1086</v>
      </c>
      <c r="G282" t="s">
        <v>1073</v>
      </c>
      <c r="I282" t="s">
        <v>2104</v>
      </c>
      <c r="J282" t="s">
        <v>1082</v>
      </c>
      <c r="K282" s="216" t="s">
        <v>2945</v>
      </c>
      <c r="M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v>
      </c>
    </row>
    <row r="283" spans="1:13">
      <c r="A283">
        <v>4</v>
      </c>
      <c r="B283" t="s">
        <v>2142</v>
      </c>
      <c r="D283" t="s">
        <v>2143</v>
      </c>
      <c r="E283" t="s">
        <v>1079</v>
      </c>
      <c r="F283" t="s">
        <v>1086</v>
      </c>
      <c r="G283" t="s">
        <v>1073</v>
      </c>
      <c r="I283" t="s">
        <v>2144</v>
      </c>
      <c r="J283" t="s">
        <v>1088</v>
      </c>
      <c r="K283" s="216" t="s">
        <v>5989</v>
      </c>
      <c r="M283" t="str">
        <f t="shared" si="4"/>
        <v>"Peau de pierre": {
  "Name" : "Peau de pierre",
  "OV" : "Stoneskin",
  "Level" : 4,
  "BBE" : "",
  "School" : "Abjuration",
  "Incantation" : "1 action",
  "Type" : "Concentration",
  "Description" : "La cible obtient la résistante aux dégâts non magiques contondants, perforants et tranchants.",
  "Classes" :["ARTIFICER", "DRUID", "SORCERER", "MAGICIAN", "OCCULT_KNIGHT", "ARCANE_SWINDLER", "PROWLER"]
   }</v>
      </c>
    </row>
    <row r="284" spans="1:13">
      <c r="A284">
        <v>4</v>
      </c>
      <c r="B284" t="s">
        <v>2172</v>
      </c>
      <c r="D284" t="s">
        <v>2173</v>
      </c>
      <c r="E284" t="s">
        <v>1098</v>
      </c>
      <c r="F284" t="s">
        <v>1086</v>
      </c>
      <c r="I284" t="s">
        <v>2174</v>
      </c>
      <c r="J284" t="s">
        <v>1088</v>
      </c>
      <c r="K284" s="216" t="s">
        <v>3913</v>
      </c>
      <c r="M284" t="str">
        <f t="shared" si="4"/>
        <v>"Porte dimensionnelle": {
  "Name" : "Porte dimensionnelle",
  "OV" : "Dimension Door",
  "Level" : 4,
  "BBE" : "",
  "School" : "Invocation",
  "Incantation" : "1 action",
  "Type" : "",
  "Description" : "Le lanceur et une autre créature de même taille sont téléportés à un maximum de 150 mètres.",
  "Classes" :["BARD", "SORCERER", "MAGICIAN", "OCCULT_KNIGHT", "ARCANE_SWINDLER", "WIZARD"]
   }</v>
      </c>
    </row>
    <row r="285" spans="1:13">
      <c r="A285">
        <v>4</v>
      </c>
      <c r="B285" t="s">
        <v>2209</v>
      </c>
      <c r="D285" t="s">
        <v>2210</v>
      </c>
      <c r="E285" t="s">
        <v>1079</v>
      </c>
      <c r="F285" t="s">
        <v>1086</v>
      </c>
      <c r="I285" t="s">
        <v>2211</v>
      </c>
      <c r="J285" t="s">
        <v>1088</v>
      </c>
      <c r="K285" s="216" t="s">
        <v>2937</v>
      </c>
      <c r="M285" t="str">
        <f t="shared" si="4"/>
        <v>"Protection contre la mort": {
  "Name" : "Protection contre la mort",
  "OV" : "Death Ward",
  "Level" : 4,
  "BBE" : "",
  "School" : "Abjuration",
  "Incantation" : "1 action",
  "Type" : "",
  "Description" : "Lorsque la cible tombera pour la première fois à 0 pv, elle repassera automatiquement à 1 pv.",
  "Classes" :[ "CLERK", "PALADIN"]
   }</v>
      </c>
    </row>
    <row r="286" spans="1:13">
      <c r="A286">
        <v>4</v>
      </c>
      <c r="B286" t="s">
        <v>2263</v>
      </c>
      <c r="D286" t="s">
        <v>2264</v>
      </c>
      <c r="E286" t="s">
        <v>1155</v>
      </c>
      <c r="F286" t="s">
        <v>1086</v>
      </c>
      <c r="G286" t="s">
        <v>1073</v>
      </c>
      <c r="I286" t="s">
        <v>2265</v>
      </c>
      <c r="J286" t="s">
        <v>1082</v>
      </c>
      <c r="K286" s="216" t="s">
        <v>3915</v>
      </c>
      <c r="M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"OCCULT_KNIGHT", "ARCANE_SWINDLER", "WIZARD"]
   }</v>
      </c>
    </row>
    <row r="287" spans="1:13">
      <c r="A287">
        <v>4</v>
      </c>
      <c r="B287" t="s">
        <v>2335</v>
      </c>
      <c r="D287" t="s">
        <v>2336</v>
      </c>
      <c r="E287" t="s">
        <v>1079</v>
      </c>
      <c r="F287" t="s">
        <v>1099</v>
      </c>
      <c r="I287" t="s">
        <v>2337</v>
      </c>
      <c r="J287" t="s">
        <v>1088</v>
      </c>
      <c r="K287" s="216" t="s">
        <v>5983</v>
      </c>
      <c r="M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:["ARTIFICER", "MAGICIAN", "OCCULT_KNIGHT", "ARCANE_SWINDLER"]
   }</v>
      </c>
    </row>
    <row r="288" spans="1:13">
      <c r="A288">
        <v>4</v>
      </c>
      <c r="B288" t="s">
        <v>2396</v>
      </c>
      <c r="D288" t="s">
        <v>2397</v>
      </c>
      <c r="E288" t="s">
        <v>1098</v>
      </c>
      <c r="F288" t="s">
        <v>1086</v>
      </c>
      <c r="G288" t="s">
        <v>1073</v>
      </c>
      <c r="I288" t="s">
        <v>2398</v>
      </c>
      <c r="J288" t="s">
        <v>1082</v>
      </c>
      <c r="K288" s="216" t="s">
        <v>3916</v>
      </c>
      <c r="M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"OCCULT_KNIGHT", "ARCANE_SWINDLER"]
   }</v>
      </c>
    </row>
    <row r="289" spans="1:13">
      <c r="A289">
        <v>4</v>
      </c>
      <c r="B289" t="s">
        <v>2402</v>
      </c>
      <c r="D289" t="s">
        <v>2403</v>
      </c>
      <c r="E289" t="s">
        <v>1155</v>
      </c>
      <c r="F289" t="s">
        <v>1086</v>
      </c>
      <c r="G289" t="s">
        <v>1073</v>
      </c>
      <c r="I289" t="s">
        <v>2404</v>
      </c>
      <c r="J289" t="s">
        <v>1082</v>
      </c>
      <c r="K289" s="216" t="s">
        <v>3914</v>
      </c>
      <c r="M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"OCCULT_KNIGHT", "ARCANE_SWINDLER"]
   }</v>
      </c>
    </row>
    <row r="290" spans="1:13">
      <c r="A290">
        <v>4</v>
      </c>
      <c r="B290" t="s">
        <v>2405</v>
      </c>
      <c r="D290" t="s">
        <v>2406</v>
      </c>
      <c r="E290" t="s">
        <v>1155</v>
      </c>
      <c r="F290" t="s">
        <v>1086</v>
      </c>
      <c r="I290" t="s">
        <v>2407</v>
      </c>
      <c r="J290" t="s">
        <v>1082</v>
      </c>
      <c r="K290" s="216" t="s">
        <v>3914</v>
      </c>
      <c r="M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"OCCULT_KNIGHT", "ARCANE_SWINDLER"]
   }</v>
      </c>
    </row>
    <row r="291" spans="1:13">
      <c r="A291">
        <v>4</v>
      </c>
      <c r="B291" t="s">
        <v>2412</v>
      </c>
      <c r="D291" t="s">
        <v>2413</v>
      </c>
      <c r="E291" t="s">
        <v>1155</v>
      </c>
      <c r="F291" t="s">
        <v>1086</v>
      </c>
      <c r="G291" t="s">
        <v>1073</v>
      </c>
      <c r="I291" t="s">
        <v>2414</v>
      </c>
      <c r="J291" t="s">
        <v>1088</v>
      </c>
      <c r="K291" s="216" t="s">
        <v>6010</v>
      </c>
      <c r="M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"OCCULT_KNIGHT", "ARTIFICER", "ARTIFICER", "ARCANE_SWINDLER"]
   }</v>
      </c>
    </row>
    <row r="292" spans="1:13">
      <c r="A292">
        <v>4</v>
      </c>
      <c r="B292" t="s">
        <v>2439</v>
      </c>
      <c r="D292" t="s">
        <v>2440</v>
      </c>
      <c r="E292" t="s">
        <v>1155</v>
      </c>
      <c r="F292" t="s">
        <v>1086</v>
      </c>
      <c r="I292" t="s">
        <v>2441</v>
      </c>
      <c r="J292" t="s">
        <v>1088</v>
      </c>
      <c r="K292" s="216" t="s">
        <v>3916</v>
      </c>
      <c r="M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"OCCULT_KNIGHT", "ARCANE_SWINDLER"]
   }</v>
      </c>
    </row>
    <row r="293" spans="1:13">
      <c r="A293">
        <v>4</v>
      </c>
      <c r="B293" t="s">
        <v>2461</v>
      </c>
      <c r="D293" t="s">
        <v>2462</v>
      </c>
      <c r="E293" t="s">
        <v>1098</v>
      </c>
      <c r="F293" t="s">
        <v>1086</v>
      </c>
      <c r="G293" t="s">
        <v>1073</v>
      </c>
      <c r="I293" t="s">
        <v>2463</v>
      </c>
      <c r="J293" t="s">
        <v>1088</v>
      </c>
      <c r="K293" s="216" t="s">
        <v>5649</v>
      </c>
      <c r="M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"OCCULT_KNIGHT", "ARCANE_SWINDLER", "GREAT_OLD"]
   }</v>
      </c>
    </row>
    <row r="294" spans="1:13">
      <c r="A294">
        <v>4</v>
      </c>
      <c r="B294" t="s">
        <v>2468</v>
      </c>
      <c r="D294" t="s">
        <v>2469</v>
      </c>
      <c r="E294" t="s">
        <v>1128</v>
      </c>
      <c r="F294" t="s">
        <v>1099</v>
      </c>
      <c r="I294" t="s">
        <v>2470</v>
      </c>
      <c r="J294" t="s">
        <v>1088</v>
      </c>
      <c r="K294" s="216" t="s">
        <v>3941</v>
      </c>
      <c r="M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"OCCULT_KNIGHT", "ARCANE_SWINDLER", "WIZARD"]
   }</v>
      </c>
    </row>
    <row r="295" spans="1:13">
      <c r="A295">
        <v>5</v>
      </c>
      <c r="B295" t="s">
        <v>1104</v>
      </c>
      <c r="D295" t="s">
        <v>1105</v>
      </c>
      <c r="E295" t="s">
        <v>1085</v>
      </c>
      <c r="F295" t="s">
        <v>1086</v>
      </c>
      <c r="G295" t="s">
        <v>1073</v>
      </c>
      <c r="I295" t="s">
        <v>1106</v>
      </c>
      <c r="J295" t="s">
        <v>1082</v>
      </c>
      <c r="K295" s="216" t="s">
        <v>5974</v>
      </c>
      <c r="M295" t="str">
        <f t="shared" si="4"/>
        <v>"Amélioration de compétences": {
  "Name" : "Amélioration de compétences",
  "OV" : "Skill Empowerment",
  "Level" : 5,
  "BBE" : "",
  "School" : "Transmutation",
  "Incantation" : "1 action",
  "Type" : "Concentration",
  "Description" : "La cible double son bonus de maîtrise pour une compétence.",
  "Classes" :["ARTIFICER", "BARD", "SORCERER", "MAGICIAN", "OCCULT_KNIGHT", "ARCANE_SWINDLER"]
   }</v>
      </c>
    </row>
    <row r="296" spans="1:13">
      <c r="A296">
        <v>5</v>
      </c>
      <c r="B296" t="s">
        <v>1115</v>
      </c>
      <c r="C296" t="s">
        <v>1116</v>
      </c>
      <c r="D296" t="s">
        <v>1117</v>
      </c>
      <c r="E296" t="s">
        <v>1085</v>
      </c>
      <c r="F296" t="s">
        <v>1086</v>
      </c>
      <c r="G296" t="s">
        <v>1073</v>
      </c>
      <c r="I296" t="s">
        <v>1118</v>
      </c>
      <c r="J296" t="s">
        <v>1088</v>
      </c>
      <c r="K296" s="216" t="s">
        <v>5974</v>
      </c>
      <c r="M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"Classes" :["ARTIFICER", "BARD", "SORCERER", "MAGICIAN", "OCCULT_KNIGHT", "ARCANE_SWINDLER"]
   }</v>
      </c>
    </row>
    <row r="297" spans="1:13">
      <c r="A297">
        <v>5</v>
      </c>
      <c r="B297" t="s">
        <v>1126</v>
      </c>
      <c r="D297" t="s">
        <v>1127</v>
      </c>
      <c r="E297" t="s">
        <v>1128</v>
      </c>
      <c r="F297" t="s">
        <v>1086</v>
      </c>
      <c r="I297" t="s">
        <v>1129</v>
      </c>
      <c r="J297" t="s">
        <v>1088</v>
      </c>
      <c r="K297" s="216" t="s">
        <v>5632</v>
      </c>
      <c r="M297" t="str">
        <f t="shared" si="4"/>
        <v>"Apparence trompeuse": {
  "Name" : "Apparence trompeuse",
  "OV" : "Seeming",
  "Level" : 5,
  "BBE" : "",
  "School" : "Illusion",
  "Incantation" : "1 action",
  "Type" : "",
  "Description" : "Change l'apparence physique et vestimentaire de cibles (JdS si non consentante).",
  "Classes" :["BARD", "SORCERER", "MAGICIAN", "OCCULT_KNIGHT", "ARCANE_SWINDLER", "ARCHFAIRY"]
   }</v>
      </c>
    </row>
    <row r="298" spans="1:13">
      <c r="A298">
        <v>5</v>
      </c>
      <c r="B298" t="s">
        <v>1153</v>
      </c>
      <c r="D298" t="s">
        <v>1154</v>
      </c>
      <c r="E298" t="s">
        <v>1155</v>
      </c>
      <c r="F298" t="s">
        <v>1151</v>
      </c>
      <c r="G298" t="s">
        <v>1073</v>
      </c>
      <c r="I298" t="s">
        <v>1156</v>
      </c>
      <c r="J298" t="s">
        <v>1082</v>
      </c>
      <c r="K298" s="216" t="s">
        <v>2937</v>
      </c>
      <c r="M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v>
      </c>
    </row>
    <row r="299" spans="1:13">
      <c r="A299">
        <v>5</v>
      </c>
      <c r="B299" t="s">
        <v>1184</v>
      </c>
      <c r="D299" t="s">
        <v>1185</v>
      </c>
      <c r="E299" t="s">
        <v>1155</v>
      </c>
      <c r="F299" t="s">
        <v>1086</v>
      </c>
      <c r="G299" t="s">
        <v>1073</v>
      </c>
      <c r="I299" t="s">
        <v>1186</v>
      </c>
      <c r="J299" t="s">
        <v>1082</v>
      </c>
      <c r="K299" s="216" t="s">
        <v>3930</v>
      </c>
      <c r="M299" t="str">
        <f t="shared" si="4"/>
        <v>"Aube": {
  "Name" : "Aube",
  "OV" : "Dawn",
  "Level" : 5,
  "BBE" : "",
  "School" : "Évocation",
  "Incantation" : "1 action",
  "Type" : "Concentration",
  "Description" : "Les créatures dans un cylindre de 9 x 12 m doivent réussir un JdS de Con. ou subir 4d10 dégâts radiants.",
  "Classes" :[ "CLERK", "MAGICIAN", "OCCULT_KNIGHT", "ARCANE_SWINDLER"]
   }</v>
      </c>
    </row>
    <row r="300" spans="1:13">
      <c r="A300">
        <v>5</v>
      </c>
      <c r="B300" t="s">
        <v>1256</v>
      </c>
      <c r="D300" t="s">
        <v>1257</v>
      </c>
      <c r="E300" t="s">
        <v>1085</v>
      </c>
      <c r="F300" t="s">
        <v>1151</v>
      </c>
      <c r="G300" t="s">
        <v>1073</v>
      </c>
      <c r="I300" t="s">
        <v>1258</v>
      </c>
      <c r="J300" t="s">
        <v>1148</v>
      </c>
      <c r="K300" s="216" t="s">
        <v>2941</v>
      </c>
      <c r="M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v>
      </c>
    </row>
    <row r="301" spans="1:13">
      <c r="A301">
        <v>5</v>
      </c>
      <c r="B301" t="s">
        <v>1267</v>
      </c>
      <c r="D301" t="s">
        <v>1268</v>
      </c>
      <c r="E301" t="s">
        <v>1079</v>
      </c>
      <c r="F301" t="s">
        <v>1086</v>
      </c>
      <c r="G301" t="s">
        <v>1073</v>
      </c>
      <c r="I301" t="s">
        <v>1269</v>
      </c>
      <c r="J301" t="s">
        <v>1148</v>
      </c>
      <c r="K301" s="216" t="s">
        <v>2934</v>
      </c>
      <c r="M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"Classes" :["PALADIN"]
   }</v>
      </c>
    </row>
    <row r="302" spans="1:13">
      <c r="A302">
        <v>5</v>
      </c>
      <c r="B302" t="s">
        <v>1270</v>
      </c>
      <c r="D302" t="s">
        <v>1271</v>
      </c>
      <c r="E302" t="s">
        <v>1098</v>
      </c>
      <c r="F302" t="s">
        <v>1094</v>
      </c>
      <c r="I302" t="s">
        <v>1272</v>
      </c>
      <c r="J302" t="s">
        <v>1088</v>
      </c>
      <c r="K302" s="216" t="s">
        <v>3920</v>
      </c>
      <c r="M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"OCCULT_KNIGHT", "ARCANE_SWINDLER"]
   }</v>
      </c>
    </row>
    <row r="303" spans="1:13">
      <c r="A303">
        <v>5</v>
      </c>
      <c r="B303" t="s">
        <v>1313</v>
      </c>
      <c r="C303" t="s">
        <v>1314</v>
      </c>
      <c r="D303" t="s">
        <v>1315</v>
      </c>
      <c r="E303" t="s">
        <v>1079</v>
      </c>
      <c r="F303" t="s">
        <v>1151</v>
      </c>
      <c r="G303" t="s">
        <v>1073</v>
      </c>
      <c r="I303" t="s">
        <v>1316</v>
      </c>
      <c r="J303" t="s">
        <v>1148</v>
      </c>
      <c r="K303" s="216" t="s">
        <v>2934</v>
      </c>
      <c r="M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v>
      </c>
    </row>
    <row r="304" spans="1:13">
      <c r="A304">
        <v>5</v>
      </c>
      <c r="B304" t="s">
        <v>1341</v>
      </c>
      <c r="D304" t="s">
        <v>1342</v>
      </c>
      <c r="E304" t="s">
        <v>1155</v>
      </c>
      <c r="F304" t="s">
        <v>1086</v>
      </c>
      <c r="I304" t="s">
        <v>1343</v>
      </c>
      <c r="J304" t="s">
        <v>1088</v>
      </c>
      <c r="K304" s="216" t="s">
        <v>5641</v>
      </c>
      <c r="M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"Classes" :[ "CLERK", "FIENDISH"]
   }</v>
      </c>
    </row>
    <row r="305" spans="1:13">
      <c r="A305">
        <v>5</v>
      </c>
      <c r="B305" t="s">
        <v>1357</v>
      </c>
      <c r="D305" t="s">
        <v>1358</v>
      </c>
      <c r="E305" t="s">
        <v>1179</v>
      </c>
      <c r="F305" t="s">
        <v>1094</v>
      </c>
      <c r="H305" t="s">
        <v>1074</v>
      </c>
      <c r="I305" t="s">
        <v>1359</v>
      </c>
      <c r="J305" t="s">
        <v>1088</v>
      </c>
      <c r="K305" s="216" t="s">
        <v>2923</v>
      </c>
      <c r="M305" t="str">
        <f t="shared" si="4"/>
        <v>"Communion": {
  "Name" : "Communion",
  "OV" : "Commune",
  "Level" : 5,
  "BBE" : "",
  "School" : "Divination",
  "Incantation" : "1 minute",
  "Type" : "Rituel",
  "Description" : "Permet d'obtenir d'une entité divine les réponses (oui ou non) à 3 questions.",
  "Classes" :[ "CLERK"]
   }</v>
      </c>
    </row>
    <row r="306" spans="1:13">
      <c r="A306">
        <v>5</v>
      </c>
      <c r="B306" t="s">
        <v>1360</v>
      </c>
      <c r="D306" t="s">
        <v>1361</v>
      </c>
      <c r="E306" t="s">
        <v>1179</v>
      </c>
      <c r="F306" t="s">
        <v>1094</v>
      </c>
      <c r="H306" t="s">
        <v>1074</v>
      </c>
      <c r="I306" t="s">
        <v>1362</v>
      </c>
      <c r="J306" t="s">
        <v>1088</v>
      </c>
      <c r="K306" s="216" t="s">
        <v>2939</v>
      </c>
      <c r="M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v>
      </c>
    </row>
    <row r="307" spans="1:13">
      <c r="A307">
        <v>5</v>
      </c>
      <c r="B307" t="s">
        <v>1368</v>
      </c>
      <c r="D307" t="s">
        <v>1369</v>
      </c>
      <c r="E307" t="s">
        <v>1155</v>
      </c>
      <c r="F307" t="s">
        <v>1086</v>
      </c>
      <c r="I307" t="s">
        <v>1370</v>
      </c>
      <c r="J307" t="s">
        <v>1088</v>
      </c>
      <c r="K307" s="216" t="s">
        <v>3914</v>
      </c>
      <c r="M307" t="str">
        <f t="shared" si="4"/>
        <v>"Cône de froid": {
  "Name" : "Cône de froid",
  "OV" : "Cone of Cold",
  "Level" : 5,
  "BBE" : "",
  "School" : "Évocation",
  "Incantation" : "1 action",
  "Type" : "",
  "Description" : "Les créatures dans un cône de 18 m doivent réussir un JdS de Con. ou subir 8d8 dégâts de froid (dégâts/niv).",
  "Classes" :["SORCERER", "MAGICIAN", "OCCULT_KNIGHT", "ARCANE_SWINDLER"]
   }</v>
      </c>
    </row>
    <row r="308" spans="1:13">
      <c r="A308">
        <v>5</v>
      </c>
      <c r="B308" t="s">
        <v>1373</v>
      </c>
      <c r="C308" t="s">
        <v>1374</v>
      </c>
      <c r="D308" t="s">
        <v>1375</v>
      </c>
      <c r="E308" t="s">
        <v>1179</v>
      </c>
      <c r="F308" t="s">
        <v>1094</v>
      </c>
      <c r="H308" t="s">
        <v>1074</v>
      </c>
      <c r="I308" t="s">
        <v>1376</v>
      </c>
      <c r="J308" t="s">
        <v>1088</v>
      </c>
      <c r="K308" s="216" t="s">
        <v>3919</v>
      </c>
      <c r="M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"OCCULT_KNIGHT", "ARCANE_SWINDLER", "WIZARD"]
   }</v>
      </c>
    </row>
    <row r="309" spans="1:13">
      <c r="A309">
        <v>5</v>
      </c>
      <c r="B309" t="s">
        <v>1380</v>
      </c>
      <c r="D309" t="s">
        <v>1380</v>
      </c>
      <c r="E309" t="s">
        <v>1121</v>
      </c>
      <c r="F309" t="s">
        <v>1086</v>
      </c>
      <c r="I309" t="s">
        <v>1381</v>
      </c>
      <c r="J309" t="s">
        <v>1088</v>
      </c>
      <c r="K309" s="216" t="s">
        <v>2930</v>
      </c>
      <c r="M309" t="str">
        <f t="shared" si="4"/>
        <v>"Contagion": {
  "Name" : "Contagion",
  "OV" : "Contagion",
  "Level" : 5,
  "BBE" : "",
  "School" : "Nécromancie",
  "Incantation" : "1 action",
  "Type" : "",
  "Description" : "Si l'attaque avec un sort touche, la cible est infectée d'une maladie à choisir parmi les 6 proposées.",
  "Classes" :[ "CLERK", "DRUID"]
   }</v>
      </c>
    </row>
    <row r="310" spans="1:13">
      <c r="A310">
        <v>5</v>
      </c>
      <c r="B310" t="s">
        <v>1385</v>
      </c>
      <c r="C310" t="s">
        <v>1386</v>
      </c>
      <c r="D310" t="s">
        <v>1387</v>
      </c>
      <c r="E310" t="s">
        <v>1079</v>
      </c>
      <c r="F310" t="s">
        <v>1132</v>
      </c>
      <c r="I310" t="s">
        <v>1388</v>
      </c>
      <c r="J310" t="s">
        <v>1088</v>
      </c>
      <c r="K310" s="216" t="s">
        <v>3937</v>
      </c>
      <c r="M310" t="str">
        <f t="shared" si="4"/>
        <v>"Contrat": {
  "Name" : "Contrat",
  "OV" : "Planar Binding",
  "Level" : 5,
  "BBE" : "Entrave planaire",
  "School" : "Abjuration",
  "Incantation" : "1 heure",
  "Type" : "",
  "Description" : "La cible (céleste, élémentaire, fée ou fiélon) doit réussir un JdS de Cha. ou servir le lanceur (durée/niv).",
  "Classes" :["BARD",  "CLERK", "DRUID", "MAGICIAN", "OCCULT_KNIGHT", "ARCANE_SWINDLER"]
   }</v>
      </c>
    </row>
    <row r="311" spans="1:13">
      <c r="A311">
        <v>5</v>
      </c>
      <c r="B311" t="s">
        <v>1398</v>
      </c>
      <c r="D311" t="s">
        <v>1399</v>
      </c>
      <c r="E311" t="s">
        <v>1085</v>
      </c>
      <c r="F311" t="s">
        <v>1086</v>
      </c>
      <c r="G311" t="s">
        <v>1073</v>
      </c>
      <c r="I311" t="s">
        <v>1400</v>
      </c>
      <c r="J311" t="s">
        <v>1082</v>
      </c>
      <c r="K311" s="216" t="s">
        <v>3916</v>
      </c>
      <c r="M311" t="str">
        <f t="shared" si="4"/>
        <v>"Contrôle des vents": {
  "Name" : "Contrôle des vents",
  "OV" : "Control Winds",
  "Level" : 5,
  "BBE" : "",
  "School" : "Transmutation",
  "Incantation" : "1 action",
  "Type" : "Concentration",
  "Description" : "Contrôle l'air dans un cube de 30 m et produit un effet (Rafales, Écrasement ou Ascension).",
  "Classes" :["DRUID", "SORCERER", "MAGICIAN", "OCCULT_KNIGHT", "ARCANE_SWINDLER"]
   }</v>
      </c>
    </row>
    <row r="312" spans="1:13">
      <c r="A312">
        <v>5</v>
      </c>
      <c r="B312" t="s">
        <v>1407</v>
      </c>
      <c r="D312" t="s">
        <v>1408</v>
      </c>
      <c r="E312" t="s">
        <v>1079</v>
      </c>
      <c r="F312" t="s">
        <v>1086</v>
      </c>
      <c r="G312" t="s">
        <v>1073</v>
      </c>
      <c r="I312" t="s">
        <v>1409</v>
      </c>
      <c r="J312" t="s">
        <v>1088</v>
      </c>
      <c r="K312" s="216" t="s">
        <v>2926</v>
      </c>
      <c r="M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"Classes" :["DRUID"]
   }</v>
      </c>
    </row>
    <row r="313" spans="1:13">
      <c r="A313">
        <v>5</v>
      </c>
      <c r="B313" t="s">
        <v>1435</v>
      </c>
      <c r="D313" t="s">
        <v>1436</v>
      </c>
      <c r="E313" t="s">
        <v>1128</v>
      </c>
      <c r="F313" t="s">
        <v>1094</v>
      </c>
      <c r="I313" t="s">
        <v>1437</v>
      </c>
      <c r="J313" t="s">
        <v>1088</v>
      </c>
      <c r="K313" s="216" t="s">
        <v>5967</v>
      </c>
      <c r="M313" t="str">
        <f t="shared" si="4"/>
        <v>"Création": {
  "Name" : "Création",
  "OV" : "Creation",
  "Level" : 5,
  "BBE" : "",
  "School" : "Illusion",
  "Incantation" : "1 minute",
  "Type" : "",
  "Description" : "Crée un objet non vivant fait de matières végétales ou minérales et pas plus grand qu'un cube de 1,50 m (+1,50 m/niv).",
  "Classes" :["ARTIFICER", "SORCERER", "MAGICIAN", "OCCULT_KNIGHT", "ARCANE_SWINDLER"]
   }</v>
      </c>
    </row>
    <row r="314" spans="1:13">
      <c r="A314">
        <v>5</v>
      </c>
      <c r="B314" t="s">
        <v>1460</v>
      </c>
      <c r="D314" t="s">
        <v>1460</v>
      </c>
      <c r="E314" t="s">
        <v>1121</v>
      </c>
      <c r="F314" t="s">
        <v>1086</v>
      </c>
      <c r="G314" t="s">
        <v>1073</v>
      </c>
      <c r="I314" t="s">
        <v>1461</v>
      </c>
      <c r="J314" t="s">
        <v>1082</v>
      </c>
      <c r="K314" s="216" t="s">
        <v>3919</v>
      </c>
      <c r="M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"Classes" :["MAGICIAN", "OCCULT_KNIGHT", "ARCANE_SWINDLER", "WIZARD"]
   }</v>
      </c>
    </row>
    <row r="315" spans="1:13">
      <c r="A315">
        <v>5</v>
      </c>
      <c r="B315" t="s">
        <v>1476</v>
      </c>
      <c r="D315" t="s">
        <v>1477</v>
      </c>
      <c r="E315" t="s">
        <v>1121</v>
      </c>
      <c r="F315" t="s">
        <v>1086</v>
      </c>
      <c r="I315" t="s">
        <v>1478</v>
      </c>
      <c r="J315" t="s">
        <v>1082</v>
      </c>
      <c r="K315" s="216" t="s">
        <v>3919</v>
      </c>
      <c r="M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"OCCULT_KNIGHT", "ARCANE_SWINDLER", "WIZARD"]
   }</v>
      </c>
    </row>
    <row r="316" spans="1:13">
      <c r="A316">
        <v>5</v>
      </c>
      <c r="B316" t="s">
        <v>1507</v>
      </c>
      <c r="D316" t="s">
        <v>1508</v>
      </c>
      <c r="E316" t="s">
        <v>1079</v>
      </c>
      <c r="F316" t="s">
        <v>1086</v>
      </c>
      <c r="G316" t="s">
        <v>1073</v>
      </c>
      <c r="I316" t="s">
        <v>1509</v>
      </c>
      <c r="J316" t="s">
        <v>1088</v>
      </c>
      <c r="K316" s="216" t="s">
        <v>2937</v>
      </c>
      <c r="M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v>
      </c>
    </row>
    <row r="317" spans="1:13">
      <c r="A317">
        <v>5</v>
      </c>
      <c r="B317" t="s">
        <v>1518</v>
      </c>
      <c r="C317" t="s">
        <v>1519</v>
      </c>
      <c r="D317" t="s">
        <v>1520</v>
      </c>
      <c r="E317" t="s">
        <v>1109</v>
      </c>
      <c r="F317" t="s">
        <v>1086</v>
      </c>
      <c r="G317" t="s">
        <v>1073</v>
      </c>
      <c r="I317" t="s">
        <v>1521</v>
      </c>
      <c r="J317" t="s">
        <v>1088</v>
      </c>
      <c r="K317" s="216" t="s">
        <v>5645</v>
      </c>
      <c r="M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"OCCULT_KNIGHT", "ARCANE_SWINDLER", "ARCHFAIRY", "GREAT_OLD"]
   }</v>
      </c>
    </row>
    <row r="318" spans="1:13">
      <c r="A318">
        <v>5</v>
      </c>
      <c r="B318" t="s">
        <v>1530</v>
      </c>
      <c r="C318" t="s">
        <v>1531</v>
      </c>
      <c r="D318" t="s">
        <v>1532</v>
      </c>
      <c r="E318" t="s">
        <v>1128</v>
      </c>
      <c r="F318" t="s">
        <v>1086</v>
      </c>
      <c r="G318" t="s">
        <v>1073</v>
      </c>
      <c r="I318" t="s">
        <v>1533</v>
      </c>
      <c r="J318" t="s">
        <v>1088</v>
      </c>
      <c r="K318" s="216" t="s">
        <v>3923</v>
      </c>
      <c r="M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"OCCULT_KNIGHT", "ARCANE_SWINDLER"]
   }</v>
      </c>
    </row>
    <row r="319" spans="1:13">
      <c r="A319">
        <v>5</v>
      </c>
      <c r="B319" t="s">
        <v>1572</v>
      </c>
      <c r="D319" t="s">
        <v>1573</v>
      </c>
      <c r="E319" t="s">
        <v>1121</v>
      </c>
      <c r="F319" t="s">
        <v>1086</v>
      </c>
      <c r="G319" t="s">
        <v>1073</v>
      </c>
      <c r="I319" t="s">
        <v>1574</v>
      </c>
      <c r="J319" t="s">
        <v>1082</v>
      </c>
      <c r="K319" s="216" t="s">
        <v>3915</v>
      </c>
      <c r="M319" t="str">
        <f t="shared" si="4"/>
        <v>"Énervation": {
  "Name" : "Énervation",
  "OV" : "Enervation",
  "Level" : 5,
  "BBE" : "",
  "School" : "Nécromancie",
  "Incantation" : "1 action",
  "Type" : "Concentration",
  "Description" : "La cible doit réussir un JdS de Dex. ou subir 4d8 dégâts nécrotiques à chaque round (+1d8/niv).",
  "Classes" :["SORCERER", "MAGICIAN", "OCCULT_KNIGHT", "ARCANE_SWINDLER", "WIZARD"]
   }</v>
      </c>
    </row>
    <row r="320" spans="1:13">
      <c r="A320">
        <v>5</v>
      </c>
      <c r="B320" t="s">
        <v>1605</v>
      </c>
      <c r="D320" t="s">
        <v>1606</v>
      </c>
      <c r="E320" t="s">
        <v>1085</v>
      </c>
      <c r="F320" t="s">
        <v>1607</v>
      </c>
      <c r="I320" t="s">
        <v>1608</v>
      </c>
      <c r="J320" t="s">
        <v>1088</v>
      </c>
      <c r="K320" s="216" t="s">
        <v>2927</v>
      </c>
      <c r="M320" t="str">
        <f t="shared" si="4"/>
        <v>"Éveil": {
  "Name" : "Éveil",
  "OV" : "Awaken",
  "Level" : 5,
  "BBE" : "",
  "School" : "Transmutation",
  "Incantation" : "8 heures",
  "Type" : "",
  "Description" : "Donne à une bête ou à une plante (Intelligence 3 max) la capacité de parler et des sens humains durant 30 jours.",
  "Classes" :["BARD", "DRUID"]
   }</v>
      </c>
    </row>
    <row r="321" spans="1:13">
      <c r="A321">
        <v>5</v>
      </c>
      <c r="B321" t="s">
        <v>1653</v>
      </c>
      <c r="D321" t="s">
        <v>1654</v>
      </c>
      <c r="E321" t="s">
        <v>1098</v>
      </c>
      <c r="F321" t="s">
        <v>1086</v>
      </c>
      <c r="G321" t="s">
        <v>1073</v>
      </c>
      <c r="I321" t="s">
        <v>1655</v>
      </c>
      <c r="J321" t="s">
        <v>1088</v>
      </c>
      <c r="K321" s="216" t="s">
        <v>2932</v>
      </c>
      <c r="M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v>
      </c>
    </row>
    <row r="322" spans="1:13">
      <c r="A322">
        <v>5</v>
      </c>
      <c r="B322" t="s">
        <v>1707</v>
      </c>
      <c r="D322" t="s">
        <v>1708</v>
      </c>
      <c r="E322" t="s">
        <v>1098</v>
      </c>
      <c r="F322" t="s">
        <v>1086</v>
      </c>
      <c r="I322" t="s">
        <v>1709</v>
      </c>
      <c r="J322" t="s">
        <v>1082</v>
      </c>
      <c r="K322" s="216" t="s">
        <v>3921</v>
      </c>
      <c r="M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"Classes" :["MAGICIAN", "OCCULT_KNIGHT", "ARCANE_SWINDLER", "PROWLER"]
   }</v>
      </c>
    </row>
    <row r="323" spans="1:13">
      <c r="A323">
        <v>5</v>
      </c>
      <c r="B323" t="s">
        <v>1720</v>
      </c>
      <c r="D323" t="s">
        <v>1721</v>
      </c>
      <c r="E323" t="s">
        <v>1155</v>
      </c>
      <c r="F323" t="s">
        <v>1086</v>
      </c>
      <c r="G323" t="s">
        <v>1073</v>
      </c>
      <c r="I323" t="s">
        <v>1722</v>
      </c>
      <c r="J323" t="s">
        <v>1082</v>
      </c>
      <c r="K323" s="216" t="s">
        <v>2939</v>
      </c>
      <c r="M323" t="str">
        <f t="shared" ref="M323:M386" si="5">""""&amp;B323&amp;""": {
  ""Name"" : """&amp;B323&amp;""",
  ""OV"" : """&amp;D323&amp;""",
  ""Level"" : "&amp;A323&amp;",
  ""BBE"" : """&amp;C323&amp;""",
  ""School"" : """&amp;PROPER(E323)&amp;""",
  ""Incantation"" : """&amp;F323&amp;""",
  ""Type"" : """&amp;TRIM(G323&amp;" "&amp;H323)&amp;""",
  ""Description"" : """&amp;I323&amp;""",
  ""Classes"" :["&amp;K323&amp;"]
   }"</f>
        <v>"Fureur de la nature": {
  "Name" : "Fureur de la nature",
  "OV" : "Wrath of Nature",
  "Level" : 5,
  "BBE" : "",
  "School" : "Évocation",
  "Incantation" : "1 action",
  "Type" : "Concentration",
  "Description" : "Anime arbres, roches et plantes dans un cube de 18 x 18 x 18 m.",
  "Classes" :["DRUID", "PROWLER"]
   }</v>
      </c>
    </row>
    <row r="324" spans="1:13">
      <c r="A324">
        <v>5</v>
      </c>
      <c r="B324" t="s">
        <v>1790</v>
      </c>
      <c r="C324" t="s">
        <v>1791</v>
      </c>
      <c r="D324" t="s">
        <v>1792</v>
      </c>
      <c r="E324" t="s">
        <v>1109</v>
      </c>
      <c r="F324" t="s">
        <v>1086</v>
      </c>
      <c r="G324" t="s">
        <v>1073</v>
      </c>
      <c r="I324" t="s">
        <v>1793</v>
      </c>
      <c r="J324" t="s">
        <v>1088</v>
      </c>
      <c r="K324" s="216" t="s">
        <v>3913</v>
      </c>
      <c r="M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"OCCULT_KNIGHT", "ARCANE_SWINDLER", "WIZARD"]
   }</v>
      </c>
    </row>
    <row r="325" spans="1:13">
      <c r="A325">
        <v>5</v>
      </c>
      <c r="B325" t="s">
        <v>1797</v>
      </c>
      <c r="D325" t="s">
        <v>1797</v>
      </c>
      <c r="E325" t="s">
        <v>1155</v>
      </c>
      <c r="F325" t="s">
        <v>1086</v>
      </c>
      <c r="G325" t="s">
        <v>1073</v>
      </c>
      <c r="I325" t="s">
        <v>1798</v>
      </c>
      <c r="J325" t="s">
        <v>1082</v>
      </c>
      <c r="K325" s="216" t="s">
        <v>3914</v>
      </c>
      <c r="M325" t="str">
        <f t="shared" si="5"/>
        <v>"Immolation": {
  "Name" : "Immolation",
  "OV" : "Immolation",
  "Level" : 5,
  "BBE" : "",
  "School" : "Évocation",
  "Incantation" : "1 action",
  "Type" : "Concentration",
  "Description" : "La cible à 27 m doit réussir un JdS de Dex. ou subir 8d6 dégâts de feu et 4d6 dégâts de feu par la suite.",
  "Classes" :["SORCERER", "MAGICIAN", "OCCULT_KNIGHT", "ARCANE_SWINDLER"]
   }</v>
      </c>
    </row>
    <row r="326" spans="1:13">
      <c r="A326">
        <v>5</v>
      </c>
      <c r="B326" t="s">
        <v>1853</v>
      </c>
      <c r="C326" t="s">
        <v>1854</v>
      </c>
      <c r="D326" t="s">
        <v>1855</v>
      </c>
      <c r="E326" t="s">
        <v>1098</v>
      </c>
      <c r="F326" t="s">
        <v>1086</v>
      </c>
      <c r="I326" t="s">
        <v>1856</v>
      </c>
      <c r="J326" t="s">
        <v>1148</v>
      </c>
      <c r="K326" s="216" t="s">
        <v>2941</v>
      </c>
      <c r="M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v>
      </c>
    </row>
    <row r="327" spans="1:13">
      <c r="A327">
        <v>5</v>
      </c>
      <c r="B327" t="s">
        <v>1823</v>
      </c>
      <c r="C327" t="s">
        <v>1824</v>
      </c>
      <c r="D327" t="s">
        <v>1825</v>
      </c>
      <c r="E327" t="s">
        <v>1098</v>
      </c>
      <c r="F327" t="s">
        <v>1094</v>
      </c>
      <c r="G327" t="s">
        <v>1073</v>
      </c>
      <c r="I327" t="s">
        <v>1826</v>
      </c>
      <c r="J327" t="s">
        <v>1088</v>
      </c>
      <c r="K327" s="216" t="s">
        <v>3933</v>
      </c>
      <c r="M327" t="str">
        <f t="shared" si="5"/>
        <v>"Invocation d'élémentaire": {
  "Name" : "Invocation d'élémentaire",
  "OV" : "Conjure Elemental",
  "Level" : 5,
  "BBE" : "Invoquer un élémentaire",
  "School" : "Invocation",
  "Incantation" : "1 minute",
  "Type" : "Concentration",
  "Description" : "Invoque 1 élémentaire FP 5 amical (FP +1/niv).",
  "Classes" :["DRUID", "MAGICIAN", "OCCULT_KNIGHT", "ARCANE_SWINDLER"]
   }</v>
      </c>
    </row>
    <row r="328" spans="1:13">
      <c r="A328">
        <v>5</v>
      </c>
      <c r="B328" t="s">
        <v>1857</v>
      </c>
      <c r="D328" t="s">
        <v>1858</v>
      </c>
      <c r="E328" t="s">
        <v>1098</v>
      </c>
      <c r="F328" t="s">
        <v>1094</v>
      </c>
      <c r="G328" t="s">
        <v>1073</v>
      </c>
      <c r="I328" t="s">
        <v>1859</v>
      </c>
      <c r="J328" t="s">
        <v>1082</v>
      </c>
      <c r="K328" s="216" t="s">
        <v>3919</v>
      </c>
      <c r="M328" t="str">
        <f t="shared" si="5"/>
        <v>"Invocation infernale": {
  "Name" : "Invocation infernale",
  "OV" : "Infernal Calling",
  "Level" : 5,
  "BBE" : "",
  "School" : "Invocation",
  "Incantation" : "1 minute",
  "Type" : "Concentration",
  "Description" : "Invoque 1 diable FP 6 hostile (+1 FP/niv)",
  "Classes" :["MAGICIAN", "OCCULT_KNIGHT", "ARCANE_SWINDLER", "WIZARD"]
   }</v>
      </c>
    </row>
    <row r="329" spans="1:13">
      <c r="A329">
        <v>5</v>
      </c>
      <c r="B329" t="s">
        <v>1881</v>
      </c>
      <c r="D329" t="s">
        <v>1882</v>
      </c>
      <c r="E329" t="s">
        <v>1179</v>
      </c>
      <c r="F329" t="s">
        <v>1099</v>
      </c>
      <c r="I329" t="s">
        <v>1883</v>
      </c>
      <c r="J329" t="s">
        <v>1088</v>
      </c>
      <c r="K329" s="216" t="s">
        <v>3935</v>
      </c>
      <c r="M329" t="str">
        <f t="shared" si="5"/>
        <v>"Légende": {
  "Name" : "Légende",
  "OV" : "Legend Lore",
  "Level" : 5,
  "BBE" : "",
  "School" : "Divination",
  "Incantation" : "10 minutes",
  "Type" : "",
  "Description" : "Le lanceur obtient des informations sur une personne, un lieu ou un objet sous forme de contes ou d'histoires.",
  "Classes" :["BARD",  "CLERK", "MAGICIAN", "OCCULT_KNIGHT", "ARCANE_SWINDLER"]
   }</v>
      </c>
    </row>
    <row r="330" spans="1:13">
      <c r="A330">
        <v>5</v>
      </c>
      <c r="B330" t="s">
        <v>1903</v>
      </c>
      <c r="D330" t="s">
        <v>1904</v>
      </c>
      <c r="E330" t="s">
        <v>1179</v>
      </c>
      <c r="F330" t="s">
        <v>1086</v>
      </c>
      <c r="H330" t="s">
        <v>1074</v>
      </c>
      <c r="I330" t="s">
        <v>1905</v>
      </c>
      <c r="J330" t="s">
        <v>1088</v>
      </c>
      <c r="K330" s="216" t="s">
        <v>3922</v>
      </c>
      <c r="M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"OCCULT_KNIGHT", "ARCANE_SWINDLER"]
   }</v>
      </c>
    </row>
    <row r="331" spans="1:13">
      <c r="A331">
        <v>5</v>
      </c>
      <c r="B331" t="s">
        <v>1933</v>
      </c>
      <c r="D331" t="s">
        <v>1934</v>
      </c>
      <c r="E331" t="s">
        <v>1155</v>
      </c>
      <c r="F331" t="s">
        <v>1086</v>
      </c>
      <c r="G331" t="s">
        <v>1073</v>
      </c>
      <c r="I331" t="s">
        <v>1935</v>
      </c>
      <c r="J331" t="s">
        <v>1082</v>
      </c>
      <c r="K331" s="216" t="s">
        <v>2926</v>
      </c>
      <c r="M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"Classes" :["DRUID"]
   }</v>
      </c>
    </row>
    <row r="332" spans="1:13">
      <c r="A332">
        <v>5</v>
      </c>
      <c r="B332" t="s">
        <v>1936</v>
      </c>
      <c r="D332" t="s">
        <v>1937</v>
      </c>
      <c r="E332" t="s">
        <v>1155</v>
      </c>
      <c r="F332" t="s">
        <v>1086</v>
      </c>
      <c r="G332" t="s">
        <v>1073</v>
      </c>
      <c r="I332" t="s">
        <v>1938</v>
      </c>
      <c r="J332" t="s">
        <v>1088</v>
      </c>
      <c r="K332" s="216" t="s">
        <v>5983</v>
      </c>
      <c r="M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"Classes" :["ARTIFICER", "MAGICIAN", "OCCULT_KNIGHT", "ARCANE_SWINDLER"]
   }</v>
      </c>
    </row>
    <row r="333" spans="1:13">
      <c r="A333">
        <v>5</v>
      </c>
      <c r="B333" t="s">
        <v>1993</v>
      </c>
      <c r="C333" t="s">
        <v>1994</v>
      </c>
      <c r="D333" t="s">
        <v>1995</v>
      </c>
      <c r="E333" t="s">
        <v>1109</v>
      </c>
      <c r="F333" t="s">
        <v>1094</v>
      </c>
      <c r="I333" t="s">
        <v>1996</v>
      </c>
      <c r="J333" t="s">
        <v>1088</v>
      </c>
      <c r="K333" s="216" t="s">
        <v>3942</v>
      </c>
      <c r="M333" t="str">
        <f t="shared" si="5"/>
        <v>"Mission":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"OCCULT_KNIGHT", "ARCANE_SWINDLER", "PALADIN"]
   }</v>
      </c>
    </row>
    <row r="334" spans="1:13">
      <c r="A334">
        <v>5</v>
      </c>
      <c r="B334" t="s">
        <v>2001</v>
      </c>
      <c r="D334" t="s">
        <v>2002</v>
      </c>
      <c r="E334" t="s">
        <v>1109</v>
      </c>
      <c r="F334" t="s">
        <v>1086</v>
      </c>
      <c r="G334" t="s">
        <v>1073</v>
      </c>
      <c r="I334" t="s">
        <v>2003</v>
      </c>
      <c r="J334" t="s">
        <v>1088</v>
      </c>
      <c r="K334" s="216" t="s">
        <v>3923</v>
      </c>
      <c r="M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"OCCULT_KNIGHT", "ARCANE_SWINDLER"]
   }</v>
      </c>
    </row>
    <row r="335" spans="1:13">
      <c r="A335">
        <v>5</v>
      </c>
      <c r="B335" t="s">
        <v>2051</v>
      </c>
      <c r="D335" t="s">
        <v>2052</v>
      </c>
      <c r="E335" t="s">
        <v>1155</v>
      </c>
      <c r="F335" t="s">
        <v>1086</v>
      </c>
      <c r="G335" t="s">
        <v>1073</v>
      </c>
      <c r="I335" t="s">
        <v>2053</v>
      </c>
      <c r="J335" t="s">
        <v>1088</v>
      </c>
      <c r="K335" s="216" t="s">
        <v>3922</v>
      </c>
      <c r="M335" t="str">
        <f t="shared" si="5"/>
        <v>"Mur de force": {
  "Name" : "Mur de force",
  "OV" : "Wall of Force",
  "Level" : 5,
  "BBE" : "",
  "School" : "Évocation",
  "Incantation" : "1 action",
  "Type" : "Concentration",
  "Description" : "Crée un mur de force infranchissable physiquement (dix panneaux de 3 m) immunisé à tous les types de dégâts.",
  "Classes" :["MAGICIAN", "OCCULT_KNIGHT", "ARCANE_SWINDLER"]
   }</v>
      </c>
    </row>
    <row r="336" spans="1:13">
      <c r="A336">
        <v>5</v>
      </c>
      <c r="B336" t="s">
        <v>2057</v>
      </c>
      <c r="D336" t="s">
        <v>2058</v>
      </c>
      <c r="E336" t="s">
        <v>1155</v>
      </c>
      <c r="F336" t="s">
        <v>1086</v>
      </c>
      <c r="G336" t="s">
        <v>1073</v>
      </c>
      <c r="I336" t="s">
        <v>2059</v>
      </c>
      <c r="J336" t="s">
        <v>1082</v>
      </c>
      <c r="K336" s="216" t="s">
        <v>3915</v>
      </c>
      <c r="M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"OCCULT_KNIGHT", "ARCANE_SWINDLER", "WIZARD"]
   }</v>
      </c>
    </row>
    <row r="337" spans="1:13">
      <c r="A337">
        <v>5</v>
      </c>
      <c r="B337" t="s">
        <v>2060</v>
      </c>
      <c r="D337" t="s">
        <v>2061</v>
      </c>
      <c r="E337" t="s">
        <v>1155</v>
      </c>
      <c r="F337" t="s">
        <v>1086</v>
      </c>
      <c r="G337" t="s">
        <v>1073</v>
      </c>
      <c r="I337" t="s">
        <v>2062</v>
      </c>
      <c r="J337" t="s">
        <v>1088</v>
      </c>
      <c r="K337" s="216" t="s">
        <v>6011</v>
      </c>
      <c r="M337" t="str">
        <f t="shared" si="5"/>
        <v>"Mur de pierre": {
  "Name" : "Mur de pierre",
  "OV" : "Wall of Stone",
  "Level" : 5,
  "BBE" : "",
  "School" : "Évocation",
  "Incantation" : "1 action",
  "Type" : "Concentration",
  "Description" : "Crée un mur de pierre non magique de (dix panneaux de 3 m) qui peut être détruit.",
  "Classes" :["ARTIFICER", "DRUID", "SORCERER", "MAGICIAN", "OCCULT_KNIGHT", "ARCANE_SWINDLER"]
   }</v>
      </c>
    </row>
    <row r="338" spans="1:13">
      <c r="A338">
        <v>5</v>
      </c>
      <c r="B338" t="s">
        <v>2084</v>
      </c>
      <c r="D338" t="s">
        <v>2085</v>
      </c>
      <c r="E338" t="s">
        <v>1098</v>
      </c>
      <c r="F338" t="s">
        <v>1086</v>
      </c>
      <c r="G338" t="s">
        <v>1073</v>
      </c>
      <c r="I338" t="s">
        <v>2086</v>
      </c>
      <c r="J338" t="s">
        <v>1088</v>
      </c>
      <c r="K338" s="216" t="s">
        <v>3914</v>
      </c>
      <c r="M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"OCCULT_KNIGHT", "ARCANE_SWINDLER"]
   }</v>
      </c>
    </row>
    <row r="339" spans="1:13">
      <c r="A339">
        <v>5</v>
      </c>
      <c r="B339" t="s">
        <v>2124</v>
      </c>
      <c r="D339" t="s">
        <v>2125</v>
      </c>
      <c r="E339" t="s">
        <v>1098</v>
      </c>
      <c r="F339" t="s">
        <v>1151</v>
      </c>
      <c r="G339" t="s">
        <v>1073</v>
      </c>
      <c r="I339" t="s">
        <v>2126</v>
      </c>
      <c r="J339" t="s">
        <v>1082</v>
      </c>
      <c r="K339" s="216" t="s">
        <v>3915</v>
      </c>
      <c r="M339" t="str">
        <f t="shared" si="5"/>
        <v>"Pas lointain": {
  "Name" : "Pas lointain",
  "OV" : "Far Step",
  "Level" : 5,
  "BBE" : "",
  "School" : "Invocation",
  "Incantation" : "1 action bonus",
  "Type" : "Concentration",
  "Description" : "Téléporte le lanceur à 18 m à chaque round par une action bonus.",
  "Classes" :["SORCERER", "MAGICIAN", "OCCULT_KNIGHT", "ARCANE_SWINDLER", "WIZARD"]
   }</v>
      </c>
    </row>
    <row r="340" spans="1:13">
      <c r="A340">
        <v>5</v>
      </c>
      <c r="B340" t="s">
        <v>2127</v>
      </c>
      <c r="D340" t="s">
        <v>2128</v>
      </c>
      <c r="E340" t="s">
        <v>1098</v>
      </c>
      <c r="F340" t="s">
        <v>1086</v>
      </c>
      <c r="G340" t="s">
        <v>1073</v>
      </c>
      <c r="I340" t="s">
        <v>2129</v>
      </c>
      <c r="J340" t="s">
        <v>1088</v>
      </c>
      <c r="K340" s="216" t="s">
        <v>2939</v>
      </c>
      <c r="M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v>
      </c>
    </row>
    <row r="341" spans="1:13">
      <c r="A341">
        <v>5</v>
      </c>
      <c r="B341" t="s">
        <v>2133</v>
      </c>
      <c r="D341" t="s">
        <v>2134</v>
      </c>
      <c r="E341" t="s">
        <v>1085</v>
      </c>
      <c r="F341" t="s">
        <v>1086</v>
      </c>
      <c r="I341" t="s">
        <v>2135</v>
      </c>
      <c r="J341" t="s">
        <v>1088</v>
      </c>
      <c r="K341" s="216" t="s">
        <v>3922</v>
      </c>
      <c r="M341" t="str">
        <f t="shared" si="5"/>
        <v>"Passe-muraille": {
  "Name" : "Passe-muraille",
  "OV" : "Passwall",
  "Level" : 5,
  "BBE" : "",
  "School" : "Transmutation",
  "Incantation" : "1 action",
  "Type" : "",
  "Description" : "Ouvre un passage de 1,50 x 2,50 x 6 m à travers de la pierre, du bois ou du plâtre.",
  "Classes" :["MAGICIAN", "OCCULT_KNIGHT", "ARCANE_SWINDLER"]
   }</v>
      </c>
    </row>
    <row r="342" spans="1:13">
      <c r="A342">
        <v>5</v>
      </c>
      <c r="B342" t="s">
        <v>2145</v>
      </c>
      <c r="D342" t="s">
        <v>2146</v>
      </c>
      <c r="E342" t="s">
        <v>1109</v>
      </c>
      <c r="F342" t="s">
        <v>1086</v>
      </c>
      <c r="I342" t="s">
        <v>2147</v>
      </c>
      <c r="J342" t="s">
        <v>1082</v>
      </c>
      <c r="K342" s="216" t="s">
        <v>3913</v>
      </c>
      <c r="M342" t="str">
        <f t="shared" si="5"/>
        <v>"Perturbations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"OCCULT_KNIGHT", "ARCANE_SWINDLER", "WIZARD"]
   }</v>
      </c>
    </row>
    <row r="343" spans="1:13">
      <c r="A343">
        <v>5</v>
      </c>
      <c r="B343" t="s">
        <v>2241</v>
      </c>
      <c r="C343" t="s">
        <v>2242</v>
      </c>
      <c r="D343" t="s">
        <v>2243</v>
      </c>
      <c r="E343" t="s">
        <v>1121</v>
      </c>
      <c r="F343" t="s">
        <v>1132</v>
      </c>
      <c r="I343" t="s">
        <v>2244</v>
      </c>
      <c r="J343" t="s">
        <v>1088</v>
      </c>
      <c r="K343" s="216" t="s">
        <v>2936</v>
      </c>
      <c r="M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v>
      </c>
    </row>
    <row r="344" spans="1:13">
      <c r="A344">
        <v>5</v>
      </c>
      <c r="B344" t="s">
        <v>2280</v>
      </c>
      <c r="D344" t="s">
        <v>2281</v>
      </c>
      <c r="E344" t="s">
        <v>1085</v>
      </c>
      <c r="F344" t="s">
        <v>1132</v>
      </c>
      <c r="I344" t="s">
        <v>2282</v>
      </c>
      <c r="J344" t="s">
        <v>1088</v>
      </c>
      <c r="K344" s="216" t="s">
        <v>2926</v>
      </c>
      <c r="M344" t="str">
        <f t="shared" si="5"/>
        <v>"Réincarnation": {
  "Name" : "Réincarnation",
  "OV" : "Reincarnate",
  "Level" : 5,
  "BBE" : "",
  "School" : "Transmutation",
  "Incantation" : "1 heure",
  "Type" : "",
  "Description" : "Réincarne l'âme d'un humanoïde mort depuis 10 jours max. La race du nouveau corps est déterminée au hasard.",
  "Classes" :["DRUID"]
   }</v>
      </c>
    </row>
    <row r="345" spans="1:13">
      <c r="A345">
        <v>5</v>
      </c>
      <c r="B345" t="s">
        <v>2304</v>
      </c>
      <c r="D345" t="s">
        <v>2305</v>
      </c>
      <c r="E345" t="s">
        <v>1079</v>
      </c>
      <c r="F345" t="s">
        <v>1086</v>
      </c>
      <c r="I345" t="s">
        <v>2306</v>
      </c>
      <c r="J345" t="s">
        <v>1088</v>
      </c>
      <c r="K345" s="216" t="s">
        <v>6012</v>
      </c>
      <c r="M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:["ARTIFICER", "BARD",  "CLERK", "DRUID"]
   }</v>
      </c>
    </row>
    <row r="346" spans="1:13">
      <c r="A346">
        <v>5</v>
      </c>
      <c r="B346" t="s">
        <v>2313</v>
      </c>
      <c r="D346" t="s">
        <v>2314</v>
      </c>
      <c r="E346" t="s">
        <v>1128</v>
      </c>
      <c r="F346" t="s">
        <v>1094</v>
      </c>
      <c r="I346" t="s">
        <v>2315</v>
      </c>
      <c r="J346" t="s">
        <v>1088</v>
      </c>
      <c r="K346" s="216" t="s">
        <v>3928</v>
      </c>
      <c r="M346" t="str">
        <f t="shared" si="5"/>
        <v>"Rêve": {
  "Name" : "Rêve",
  "OV" : "Dream",
  "Level" : 5,
  "BBE" : "",
  "School" : "Illusion",
  "Incantation" : "1 minute",
  "Type" : "",
  "Description" : "Façonne les rêves d'une créature qui dort et peut faire subir 3d6 dégâts psychiques en cas d'échec à un JdS de Sag.",
  "Classes" :["BARD", "MAGICIAN", "OCCULT_KNIGHT", "ARCANE_SWINDLER", "WIZARD"]
   }</v>
      </c>
    </row>
    <row r="347" spans="1:13">
      <c r="A347">
        <v>5</v>
      </c>
      <c r="B347" t="s">
        <v>2328</v>
      </c>
      <c r="D347" t="s">
        <v>2329</v>
      </c>
      <c r="E347" t="s">
        <v>1155</v>
      </c>
      <c r="F347" t="s">
        <v>2330</v>
      </c>
      <c r="I347" t="s">
        <v>2331</v>
      </c>
      <c r="J347" t="s">
        <v>1088</v>
      </c>
      <c r="K347" s="216" t="s">
        <v>5641</v>
      </c>
      <c r="M347" t="str">
        <f t="shared" si="5"/>
        <v>"Sanctification": {
  "Name" : "Sanctification",
  "OV" : "Hallow",
  "Level" : 5,
  "BBE" : "",
  "School" : "Évocation",
  "Incantation" : "24 heures",
  "Type" : "",
  "Description" : "Empêche célestes, élémentaires, fiélons, fées et morts-vivants d'entrer dans un rayon de 18 m et protège/handicape les cibles.",
  "Classes" :[ "CLERK", "FIENDISH"]
   }</v>
      </c>
    </row>
    <row r="348" spans="1:13">
      <c r="A348">
        <v>5</v>
      </c>
      <c r="B348" t="s">
        <v>2344</v>
      </c>
      <c r="D348" t="s">
        <v>2345</v>
      </c>
      <c r="E348" t="s">
        <v>1179</v>
      </c>
      <c r="F348" t="s">
        <v>1099</v>
      </c>
      <c r="G348" t="s">
        <v>1073</v>
      </c>
      <c r="I348" t="s">
        <v>2346</v>
      </c>
      <c r="J348" t="s">
        <v>1088</v>
      </c>
      <c r="K348" s="216" t="s">
        <v>3943</v>
      </c>
      <c r="M348" t="str">
        <f t="shared" si="5"/>
        <v>"Scrutation": {
  "Name" : "Scrutation",
  "OV" : "Scrying",
  "Level" : 5,
  "BBE" : "",
  "School" : "Divination",
  "Incantation" : "10 minutes",
  "Type" : "Concentration",
  "Description" : "Permet de voir et entendre une créature spécifique (on peut aussi cibler un lieu) sur le même plan (JdS de Sag).",
  "Classes" :["BARD",  "CLERK", "DRUID", "MAGICIAN", "OCCULT_KNIGHT", "ARCANE_SWINDLER", "WIZARD"]
   }</v>
      </c>
    </row>
    <row r="349" spans="1:13">
      <c r="A349">
        <v>5</v>
      </c>
      <c r="B349" t="s">
        <v>2383</v>
      </c>
      <c r="C349" t="s">
        <v>2384</v>
      </c>
      <c r="D349" t="s">
        <v>2385</v>
      </c>
      <c r="E349" t="s">
        <v>1155</v>
      </c>
      <c r="F349" t="s">
        <v>1086</v>
      </c>
      <c r="I349" t="s">
        <v>2386</v>
      </c>
      <c r="J349" t="s">
        <v>1088</v>
      </c>
      <c r="K349" s="216" t="s">
        <v>2929</v>
      </c>
      <c r="M349" t="str">
        <f t="shared" si="5"/>
        <v>"Soins de groupe": {
  "Name" : "Soins de groupe",
  "OV" : "Mass Cure Wounds",
  "Level" : 5,
  "BBE" : "Soin des blessures de groupe",
  "School" : "Évocation",
  "Incantation" : "1 action",
  "Type" : "",
  "Description" : "Jusqu'à 6 créatures récupèrent 3d8+Mod.Carac.Inc pv (+1d8 pv/niv).",
  "Classes" :["BARD",  "CLERK", "DRUID"]
   }</v>
      </c>
    </row>
    <row r="350" spans="1:13">
      <c r="A350">
        <v>5</v>
      </c>
      <c r="B350" t="s">
        <v>2427</v>
      </c>
      <c r="D350" t="s">
        <v>2428</v>
      </c>
      <c r="E350" t="s">
        <v>1085</v>
      </c>
      <c r="F350" t="s">
        <v>1086</v>
      </c>
      <c r="G350" t="s">
        <v>1073</v>
      </c>
      <c r="I350" t="s">
        <v>2429</v>
      </c>
      <c r="J350" t="s">
        <v>1088</v>
      </c>
      <c r="K350" s="216" t="s">
        <v>5650</v>
      </c>
      <c r="M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"OCCULT_KNIGHT", "ARCANE_SWINDLER", "GREAT_OLD"]
   }</v>
      </c>
    </row>
    <row r="351" spans="1:13">
      <c r="A351">
        <v>5</v>
      </c>
      <c r="B351" t="s">
        <v>2499</v>
      </c>
      <c r="D351" t="s">
        <v>2500</v>
      </c>
      <c r="E351" t="s">
        <v>1085</v>
      </c>
      <c r="F351" t="s">
        <v>1086</v>
      </c>
      <c r="I351" t="s">
        <v>2501</v>
      </c>
      <c r="J351" t="s">
        <v>1082</v>
      </c>
      <c r="K351" s="216" t="s">
        <v>6013</v>
      </c>
      <c r="M351" t="str">
        <f t="shared" si="5"/>
        <v>"Transmutation de la pierre": {
  "Name" : "Transmutation de la pierre",
  "OV" : "Transmute Rock",
  "Level" : 5,
  "BBE" : "",
  "School" : "Transmutation",
  "Incantation" : "1 action",
  "Type" : "",
  "Description" : "Transforme un cube de 12 m de roche en boue ou de boue en roche.",
  "Classes" :["ARTIFICER", "DRUID", "MAGICIAN", "OCCULT_KNIGHT", "ARCANE_SWINDLER"]
   }</v>
      </c>
    </row>
    <row r="352" spans="1:13">
      <c r="A352">
        <v>5</v>
      </c>
      <c r="B352" t="s">
        <v>2515</v>
      </c>
      <c r="D352" t="s">
        <v>2516</v>
      </c>
      <c r="E352" t="s">
        <v>1155</v>
      </c>
      <c r="F352" t="s">
        <v>1086</v>
      </c>
      <c r="I352" t="s">
        <v>2517</v>
      </c>
      <c r="J352" t="s">
        <v>1148</v>
      </c>
      <c r="K352" s="216" t="s">
        <v>2934</v>
      </c>
      <c r="M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"Classes" :["PALADIN"]
   }</v>
      </c>
    </row>
    <row r="353" spans="1:13">
      <c r="A353">
        <v>6</v>
      </c>
      <c r="B353" t="s">
        <v>1096</v>
      </c>
      <c r="D353" t="s">
        <v>1097</v>
      </c>
      <c r="E353" t="s">
        <v>1098</v>
      </c>
      <c r="F353" t="s">
        <v>1099</v>
      </c>
      <c r="I353" t="s">
        <v>1100</v>
      </c>
      <c r="J353" t="s">
        <v>1088</v>
      </c>
      <c r="K353" s="216" t="s">
        <v>2923</v>
      </c>
      <c r="M353" t="str">
        <f t="shared" si="5"/>
        <v>"Allié planaire": {
  "Name" : "Allié planaire",
  "OV" : "Planar Ally",
  "Level" : 6,
  "BBE" : "",
  "School" : "Invocation",
  "Incantation" : "10 minutes",
  "Type" : "",
  "Description" : "Invoque un céleste, un élémentaire ou un fiélon qui aidera le lanceur contre paiement (1000 po/h, sacrifice, quête, etc).",
  "Classes" :[ "CLERK"]
   }</v>
      </c>
    </row>
    <row r="354" spans="1:13">
      <c r="A354">
        <v>6</v>
      </c>
      <c r="B354" t="s">
        <v>1217</v>
      </c>
      <c r="D354" t="s">
        <v>1218</v>
      </c>
      <c r="E354" t="s">
        <v>1155</v>
      </c>
      <c r="F354" t="s">
        <v>1086</v>
      </c>
      <c r="G354" t="s">
        <v>1073</v>
      </c>
      <c r="I354" t="s">
        <v>1219</v>
      </c>
      <c r="J354" t="s">
        <v>1088</v>
      </c>
      <c r="K354" s="216" t="s">
        <v>2923</v>
      </c>
      <c r="M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v>
      </c>
    </row>
    <row r="355" spans="1:13">
      <c r="A355">
        <v>6</v>
      </c>
      <c r="B355" t="s">
        <v>1226</v>
      </c>
      <c r="D355" t="s">
        <v>1227</v>
      </c>
      <c r="E355" t="s">
        <v>1079</v>
      </c>
      <c r="F355" t="s">
        <v>1099</v>
      </c>
      <c r="I355" t="s">
        <v>1228</v>
      </c>
      <c r="J355" t="s">
        <v>1082</v>
      </c>
      <c r="K355" s="216" t="s">
        <v>2926</v>
      </c>
      <c r="M355" t="str">
        <f t="shared" si="5"/>
        <v>"Bosquet des druides": {
  "Name" : "Bosquet des druides",
  "OV" : "Druid Grove",
  "Level" : 6,
  "BBE" : "",
  "School" : "Abjuration",
  "Incantation" : "10 minutes",
  "Type" : "",
  "Description" : "Protège une zone de 27 x 27 x 27 m par un brouillard, des lianes, des arbres animés, ou autres effets.",
  "Classes" :["DRUID"]
   }</v>
      </c>
    </row>
    <row r="356" spans="1:13">
      <c r="A356">
        <v>6</v>
      </c>
      <c r="B356" t="s">
        <v>1252</v>
      </c>
      <c r="D356" t="s">
        <v>1253</v>
      </c>
      <c r="E356" t="s">
        <v>1121</v>
      </c>
      <c r="F356" t="s">
        <v>1254</v>
      </c>
      <c r="I356" t="s">
        <v>1255</v>
      </c>
      <c r="J356" t="s">
        <v>1082</v>
      </c>
      <c r="K356" s="216" t="s">
        <v>3919</v>
      </c>
      <c r="M356" t="str">
        <f t="shared" si="5"/>
        <v>"Cage des âmes": {
  "Name" : "Cage des âmes",
  "OV" : "Soul Cage",
  "Level" : 6,
  "BBE" : "",
  "School" : "Nécromancie",
  "Incantation" : "1 reaction",
  "Type" : "",
  "Description" : "Vole une âme pour gagner des pv, lui poser des questions, obtenir l'avantage à un dé ou voir un lieu qu'elle connaissait.",
  "Classes" :["MAGICIAN", "OCCULT_KNIGHT", "ARCANE_SWINDLER", "WIZARD"]
   }</v>
      </c>
    </row>
    <row r="357" spans="1:13">
      <c r="A357">
        <v>6</v>
      </c>
      <c r="B357" t="s">
        <v>1264</v>
      </c>
      <c r="D357" t="s">
        <v>1265</v>
      </c>
      <c r="E357" t="s">
        <v>1121</v>
      </c>
      <c r="F357" t="s">
        <v>1086</v>
      </c>
      <c r="I357" t="s">
        <v>1266</v>
      </c>
      <c r="J357" t="s">
        <v>1088</v>
      </c>
      <c r="K357" s="216" t="s">
        <v>3915</v>
      </c>
      <c r="M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"OCCULT_KNIGHT", "ARCANE_SWINDLER", "WIZARD"]
   }</v>
      </c>
    </row>
    <row r="358" spans="1:13">
      <c r="A358">
        <v>6</v>
      </c>
      <c r="B358" t="s">
        <v>1279</v>
      </c>
      <c r="D358" t="s">
        <v>1280</v>
      </c>
      <c r="E358" t="s">
        <v>1155</v>
      </c>
      <c r="F358" t="s">
        <v>1086</v>
      </c>
      <c r="I358" t="s">
        <v>1281</v>
      </c>
      <c r="J358" t="s">
        <v>1088</v>
      </c>
      <c r="K358" s="216" t="s">
        <v>3914</v>
      </c>
      <c r="M358" t="str">
        <f t="shared" si="5"/>
        <v>"Chaîne d'éclairs": {
  "Name" : "Chaîne d'éclairs",
  "OV" : "Chain Lightning",
  "Level" : 6,
  "BBE" : "",
  "School" : "Évocation",
  "Incantation" : "1 action",
  "Type" : "",
  "Description" : "Jusqu'à 4 cibles différentes doivent réussir un JdS de Dex. ou subir 10d8 dégâts de foudre (+1 cible/niv).",
  "Classes" :["SORCERER", "MAGICIAN", "OCCULT_KNIGHT", "ARCANE_SWINDLER"]
   }</v>
      </c>
    </row>
    <row r="359" spans="1:13">
      <c r="A359">
        <v>6</v>
      </c>
      <c r="B359" t="s">
        <v>1382</v>
      </c>
      <c r="D359" t="s">
        <v>1383</v>
      </c>
      <c r="E359" t="s">
        <v>1121</v>
      </c>
      <c r="F359" t="s">
        <v>1086</v>
      </c>
      <c r="I359" t="s">
        <v>1384</v>
      </c>
      <c r="J359" t="s">
        <v>1088</v>
      </c>
      <c r="K359" s="216" t="s">
        <v>2923</v>
      </c>
      <c r="M359" t="str">
        <f t="shared" si="5"/>
        <v>"Contamination": {
  "Name" : "Contamination",
  "OV" : "Harm",
  "Level" : 6,
  "BBE" : "",
  "School" : "Nécromancie",
  "Incantation" : "1 action",
  "Type" : "",
  "Description" : "La cible doit réussir un JdS de Con. ou subir 14d6 dégâts nécrotiques. Le sort ne peut pas la tuer toutefois.",
  "Classes" :[ "CLERK"]
   }</v>
      </c>
    </row>
    <row r="360" spans="1:13">
      <c r="A360">
        <v>6</v>
      </c>
      <c r="B360" t="s">
        <v>1404</v>
      </c>
      <c r="D360" t="s">
        <v>1405</v>
      </c>
      <c r="E360" t="s">
        <v>1098</v>
      </c>
      <c r="F360" t="s">
        <v>1094</v>
      </c>
      <c r="H360" t="s">
        <v>1074</v>
      </c>
      <c r="I360" t="s">
        <v>1406</v>
      </c>
      <c r="J360" t="s">
        <v>1088</v>
      </c>
      <c r="K360" s="216" t="s">
        <v>3922</v>
      </c>
      <c r="M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"OCCULT_KNIGHT", "ARCANE_SWINDLER"]
   }</v>
      </c>
    </row>
    <row r="361" spans="1:13">
      <c r="A361">
        <v>6</v>
      </c>
      <c r="B361" t="s">
        <v>1441</v>
      </c>
      <c r="D361" t="s">
        <v>1442</v>
      </c>
      <c r="E361" t="s">
        <v>1121</v>
      </c>
      <c r="F361" t="s">
        <v>1094</v>
      </c>
      <c r="I361" t="s">
        <v>1443</v>
      </c>
      <c r="J361" t="s">
        <v>1088</v>
      </c>
      <c r="K361" s="216" t="s">
        <v>3944</v>
      </c>
      <c r="M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"OCCULT_KNIGHT", "ARCANE_SWINDLER", "WIZARD"]
   }</v>
      </c>
    </row>
    <row r="362" spans="1:13">
      <c r="A362">
        <v>6</v>
      </c>
      <c r="B362" t="s">
        <v>1438</v>
      </c>
      <c r="D362" t="s">
        <v>1439</v>
      </c>
      <c r="E362" t="s">
        <v>1085</v>
      </c>
      <c r="F362" t="s">
        <v>1132</v>
      </c>
      <c r="I362" t="s">
        <v>1440</v>
      </c>
      <c r="J362" t="s">
        <v>1082</v>
      </c>
      <c r="K362" s="216" t="s">
        <v>3922</v>
      </c>
      <c r="M362" t="str">
        <f t="shared" si="5"/>
        <v>"Création d'homoncule": {
  "Name" : "Création d'homoncule",
  "OV" : "Create Homunculus",
  "Level" : 6,
  "BBE" : "",
  "School" : "Transmutation",
  "Incantation" : "1 heure",
  "Type" : "",
  "Description" : "Crée un homunculus auquel le lanceur peut transférer ses points de vie jusqu'à son prochain repos long.",
  "Classes" :["MAGICIAN", "OCCULT_KNIGHT", "ARCANE_SWINDLER"]
   }</v>
      </c>
    </row>
    <row r="363" spans="1:13">
      <c r="A363">
        <v>6</v>
      </c>
      <c r="B363" t="s">
        <v>1457</v>
      </c>
      <c r="D363" t="s">
        <v>1458</v>
      </c>
      <c r="E363" t="s">
        <v>1109</v>
      </c>
      <c r="F363" t="s">
        <v>1086</v>
      </c>
      <c r="G363" t="s">
        <v>1073</v>
      </c>
      <c r="I363" t="s">
        <v>1459</v>
      </c>
      <c r="J363" t="s">
        <v>1088</v>
      </c>
      <c r="K363" s="216" t="s">
        <v>3923</v>
      </c>
      <c r="M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"OCCULT_KNIGHT", "ARCANE_SWINDLER"]
   }</v>
      </c>
    </row>
    <row r="364" spans="1:13">
      <c r="A364">
        <v>6</v>
      </c>
      <c r="B364" t="s">
        <v>1482</v>
      </c>
      <c r="D364" t="s">
        <v>1483</v>
      </c>
      <c r="E364" t="s">
        <v>1085</v>
      </c>
      <c r="F364" t="s">
        <v>1086</v>
      </c>
      <c r="I364" t="s">
        <v>1484</v>
      </c>
      <c r="J364" t="s">
        <v>1088</v>
      </c>
      <c r="K364" s="216" t="s">
        <v>3914</v>
      </c>
      <c r="M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"OCCULT_KNIGHT", "ARCANE_SWINDLER"]
   }</v>
      </c>
    </row>
    <row r="365" spans="1:13">
      <c r="A365">
        <v>6</v>
      </c>
      <c r="B365" t="s">
        <v>1510</v>
      </c>
      <c r="D365" t="s">
        <v>1511</v>
      </c>
      <c r="E365" t="s">
        <v>1098</v>
      </c>
      <c r="F365" t="s">
        <v>1086</v>
      </c>
      <c r="I365" t="s">
        <v>1512</v>
      </c>
      <c r="J365" t="s">
        <v>1082</v>
      </c>
      <c r="K365" s="216" t="s">
        <v>3915</v>
      </c>
      <c r="M365" t="str">
        <f t="shared" si="5"/>
        <v>"Diversion": {
  "Name" : "Diversion",
  "OV" : "Scatter",
  "Level" : 6,
  "BBE" : "",
  "School" : "Invocation",
  "Incantation" : "1 action",
  "Type" : "",
  "Description" : "Jusqu'à 5 créatures sont téléportées (JdS de Sag. si non consentantes) dans un rayon de 36 m.",
  "Classes" :["SORCERER", "MAGICIAN", "OCCULT_KNIGHT", "ARCANE_SWINDLER", "WIZARD"]
   }</v>
      </c>
    </row>
    <row r="366" spans="1:13">
      <c r="A366">
        <v>6</v>
      </c>
      <c r="B366" t="s">
        <v>1634</v>
      </c>
      <c r="D366" t="s">
        <v>1635</v>
      </c>
      <c r="E366" t="s">
        <v>1098</v>
      </c>
      <c r="F366" t="s">
        <v>1099</v>
      </c>
      <c r="I366" t="s">
        <v>1636</v>
      </c>
      <c r="J366" t="s">
        <v>1088</v>
      </c>
      <c r="K366" s="216" t="s">
        <v>2930</v>
      </c>
      <c r="M366" t="str">
        <f t="shared" si="5"/>
        <v>"Festin des héros": {
  "Name" : "Festin des héros",
  "OV" : "Heroes' Feast",
  "Level" : 6,
  "BBE" : "",
  "School" : "Invocation",
  "Incantation" : "10 minutes",
  "Type" : "",
  "Description" : "Produit un festin pour 12 convives qui guérit des maladies, immunise au poison et augmente les pv de 2d10 durant 24h.",
  "Classes" :[ "CLERK", "DRUID"]
   }</v>
      </c>
    </row>
    <row r="367" spans="1:13">
      <c r="A367">
        <v>6</v>
      </c>
      <c r="B367" t="s">
        <v>1739</v>
      </c>
      <c r="D367" t="s">
        <v>1740</v>
      </c>
      <c r="E367" t="s">
        <v>1079</v>
      </c>
      <c r="F367" t="s">
        <v>1086</v>
      </c>
      <c r="G367" t="s">
        <v>1073</v>
      </c>
      <c r="I367" t="s">
        <v>1741</v>
      </c>
      <c r="J367" t="s">
        <v>1088</v>
      </c>
      <c r="K367" s="216" t="s">
        <v>3914</v>
      </c>
      <c r="M367" t="str">
        <f t="shared" si="5"/>
        <v>"Globe d'invulnérabilité": {
  "Name" : "Globe d'invulnérabilité",
  "OV" : "Globe of Invulnerability",
  "Level" : 6,
  "BBE" : "",
  "School" : "Abjuration",
  "Incantation" : "1 action",
  "Type" : "Concentration",
  "Description" : "Bloque les sorts de niveau 5 ou inférieur dans un rayon de 3 m (seuil/niv).",
  "Classes" :["SORCERER", "MAGICIAN", "OCCULT_KNIGHT", "ARCANE_SWINDLER"]
   }</v>
      </c>
    </row>
    <row r="368" spans="1:13">
      <c r="A368">
        <v>6</v>
      </c>
      <c r="B368" t="s">
        <v>1757</v>
      </c>
      <c r="D368" t="s">
        <v>1758</v>
      </c>
      <c r="E368" t="s">
        <v>1155</v>
      </c>
      <c r="F368" t="s">
        <v>1086</v>
      </c>
      <c r="I368" t="s">
        <v>1759</v>
      </c>
      <c r="J368" t="s">
        <v>1088</v>
      </c>
      <c r="K368" s="216" t="s">
        <v>2930</v>
      </c>
      <c r="M368" t="str">
        <f t="shared" si="5"/>
        <v>"Guérison": {
  "Name" : "Guérison",
  "OV" : "Heal",
  "Level" : 6,
  "BBE" : "",
  "School" : "Évocation",
  "Incantation" : "1 action",
  "Type" : "",
  "Description" : "1 créature récupère 70 pv et est guérie des maladies, de l'aveuglement et de la surdité (+10 pv/niv).",
  "Classes" :[ "CLERK", "DRUID"]
   }</v>
      </c>
    </row>
    <row r="369" spans="1:13">
      <c r="A369">
        <v>6</v>
      </c>
      <c r="B369" t="s">
        <v>1778</v>
      </c>
      <c r="D369" t="s">
        <v>1779</v>
      </c>
      <c r="E369" t="s">
        <v>1128</v>
      </c>
      <c r="F369" t="s">
        <v>1086</v>
      </c>
      <c r="I369" t="s">
        <v>1780</v>
      </c>
      <c r="J369" t="s">
        <v>1088</v>
      </c>
      <c r="K369" s="216" t="s">
        <v>3923</v>
      </c>
      <c r="M369" t="str">
        <f t="shared" si="5"/>
        <v>"Illusion programmée": {
  "Name" : "Illusion programmée",
  "OV" : "Programmed Illusion",
  "Level" : 6,
  "BBE" : "",
  "School" : "Illusion",
  "Incantation" : "1 action",
  "Type" : "",
  "Description" : "Crée l'image d'un objet ou d'une créature animée, avec sons, durant 5 min, suite à un déclencheur.",
  "Classes" :["BARD", "MAGICIAN", "OCCULT_KNIGHT", "ARCANE_SWINDLER"]
   }</v>
      </c>
    </row>
    <row r="370" spans="1:13">
      <c r="A370">
        <v>6</v>
      </c>
      <c r="B370" t="s">
        <v>1807</v>
      </c>
      <c r="D370" t="s">
        <v>1808</v>
      </c>
      <c r="E370" t="s">
        <v>1079</v>
      </c>
      <c r="F370" t="s">
        <v>1099</v>
      </c>
      <c r="H370" t="s">
        <v>1074</v>
      </c>
      <c r="I370" t="s">
        <v>1809</v>
      </c>
      <c r="J370" t="s">
        <v>1088</v>
      </c>
      <c r="K370" s="216" t="s">
        <v>2923</v>
      </c>
      <c r="M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v>
      </c>
    </row>
    <row r="371" spans="1:13">
      <c r="A371">
        <v>6</v>
      </c>
      <c r="B371" t="s">
        <v>1845</v>
      </c>
      <c r="C371" t="s">
        <v>1846</v>
      </c>
      <c r="D371" t="s">
        <v>1847</v>
      </c>
      <c r="E371" t="s">
        <v>1098</v>
      </c>
      <c r="F371" t="s">
        <v>1094</v>
      </c>
      <c r="G371" t="s">
        <v>1073</v>
      </c>
      <c r="I371" t="s">
        <v>1848</v>
      </c>
      <c r="J371" t="s">
        <v>1088</v>
      </c>
      <c r="K371" s="216" t="s">
        <v>2946</v>
      </c>
      <c r="M371" t="str">
        <f t="shared" si="5"/>
        <v>"Invocation de fée": {
  "Name" : "Invocation de fée",
  "OV" : "Conjure Fey",
  "Level" : 6,
  "BBE" : "Invoquer une fée",
  "School" : "Invocation",
  "Incantation" : "1 minute",
  "Type" : "Concentration",
  "Description" : "Invoque 1 fée FP 6 amicale (FP +1/niv).",
  "Classes" :["DRUID", "WIZARD"]
   }</v>
      </c>
    </row>
    <row r="372" spans="1:13">
      <c r="A372">
        <v>6</v>
      </c>
      <c r="B372" t="s">
        <v>1959</v>
      </c>
      <c r="D372" t="s">
        <v>1960</v>
      </c>
      <c r="E372" t="s">
        <v>1085</v>
      </c>
      <c r="F372" t="s">
        <v>1094</v>
      </c>
      <c r="I372" t="s">
        <v>1961</v>
      </c>
      <c r="J372" t="s">
        <v>1088</v>
      </c>
      <c r="K372" s="216" t="s">
        <v>2926</v>
      </c>
      <c r="M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"Classes" :["DRUID"]
   }</v>
      </c>
    </row>
    <row r="373" spans="1:13">
      <c r="A373">
        <v>6</v>
      </c>
      <c r="B373" t="s">
        <v>1965</v>
      </c>
      <c r="D373" t="s">
        <v>1966</v>
      </c>
      <c r="E373" t="s">
        <v>1121</v>
      </c>
      <c r="F373" t="s">
        <v>1086</v>
      </c>
      <c r="G373" t="s">
        <v>1073</v>
      </c>
      <c r="I373" t="s">
        <v>1967</v>
      </c>
      <c r="J373" t="s">
        <v>1088</v>
      </c>
      <c r="K373" s="216" t="s">
        <v>3913</v>
      </c>
      <c r="M373" t="str">
        <f t="shared" si="5"/>
        <v>"Mauvais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"OCCULT_KNIGHT", "ARCANE_SWINDLER", "WIZARD"]
   }</v>
      </c>
    </row>
    <row r="374" spans="1:13">
      <c r="A374">
        <v>6</v>
      </c>
      <c r="B374" t="s">
        <v>2035</v>
      </c>
      <c r="C374" t="s">
        <v>2036</v>
      </c>
      <c r="D374" t="s">
        <v>2037</v>
      </c>
      <c r="E374" t="s">
        <v>1098</v>
      </c>
      <c r="F374" t="s">
        <v>1086</v>
      </c>
      <c r="I374" t="s">
        <v>2038</v>
      </c>
      <c r="J374" t="s">
        <v>1088</v>
      </c>
      <c r="K374" s="216" t="s">
        <v>2923</v>
      </c>
      <c r="M374" t="str">
        <f t="shared" si="5"/>
        <v>"Mot de rappel": {
  "Name" : "Mot de rappel",
  "OV" : "Word of Recall",
  "Level" : 6,
  "BBE" : "Mot de retour",
  "School" : "Invocation",
  "Incantation" : "1 action",
  "Type" : "",
  "Description" : "Le lanceur et jusqu'à 5 autres créatures sont téléportés dans un sanctuaire préalablement choisi.",
  "Classes" :[ "CLERK"]
   }</v>
      </c>
    </row>
    <row r="375" spans="1:13">
      <c r="A375">
        <v>6</v>
      </c>
      <c r="B375" t="s">
        <v>2054</v>
      </c>
      <c r="D375" t="s">
        <v>2055</v>
      </c>
      <c r="E375" t="s">
        <v>1155</v>
      </c>
      <c r="F375" t="s">
        <v>1086</v>
      </c>
      <c r="G375" t="s">
        <v>1073</v>
      </c>
      <c r="I375" t="s">
        <v>2056</v>
      </c>
      <c r="J375" t="s">
        <v>1088</v>
      </c>
      <c r="K375" s="216" t="s">
        <v>3922</v>
      </c>
      <c r="M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"OCCULT_KNIGHT", "ARCANE_SWINDLER"]
   }</v>
      </c>
    </row>
    <row r="376" spans="1:13">
      <c r="A376">
        <v>6</v>
      </c>
      <c r="B376" t="s">
        <v>2045</v>
      </c>
      <c r="D376" t="s">
        <v>2046</v>
      </c>
      <c r="E376" t="s">
        <v>1098</v>
      </c>
      <c r="F376" t="s">
        <v>1086</v>
      </c>
      <c r="G376" t="s">
        <v>1073</v>
      </c>
      <c r="I376" t="s">
        <v>2047</v>
      </c>
      <c r="J376" t="s">
        <v>1088</v>
      </c>
      <c r="K376" s="216" t="s">
        <v>2926</v>
      </c>
      <c r="M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v>
      </c>
    </row>
    <row r="377" spans="1:13">
      <c r="A377">
        <v>6</v>
      </c>
      <c r="B377" t="s">
        <v>2112</v>
      </c>
      <c r="D377" t="s">
        <v>2113</v>
      </c>
      <c r="E377" t="s">
        <v>1085</v>
      </c>
      <c r="F377" t="s">
        <v>1086</v>
      </c>
      <c r="I377" t="s">
        <v>2114</v>
      </c>
      <c r="J377" t="s">
        <v>1082</v>
      </c>
      <c r="K377" s="216" t="s">
        <v>2926</v>
      </c>
      <c r="M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v>
      </c>
    </row>
    <row r="378" spans="1:13">
      <c r="A378">
        <v>6</v>
      </c>
      <c r="B378" t="s">
        <v>2151</v>
      </c>
      <c r="D378" t="s">
        <v>2152</v>
      </c>
      <c r="E378" t="s">
        <v>1085</v>
      </c>
      <c r="F378" t="s">
        <v>1086</v>
      </c>
      <c r="G378" t="s">
        <v>1073</v>
      </c>
      <c r="I378" t="s">
        <v>2153</v>
      </c>
      <c r="J378" t="s">
        <v>1088</v>
      </c>
      <c r="K378" s="216" t="s">
        <v>3919</v>
      </c>
      <c r="M378" t="str">
        <f t="shared" si="5"/>
        <v>"Pétrification": {
  "Name" : "Pétrification",
  "OV" : "Flesh to Stone",
  "Level" : 6,
  "BBE" : "",
  "School" : "Transmutation",
  "Incantation" : "1 action",
  "Type" : "Concentration",
  "Description" : "La cible à 18 m doit réussir un JdS de Con. ou être entravée, voire pétrifiée après 3 échecs.",
  "Classes" :["MAGICIAN", "OCCULT_KNIGHT", "ARCANE_SWINDLER", "WIZARD"]
   }</v>
      </c>
    </row>
    <row r="379" spans="1:13">
      <c r="A379">
        <v>6</v>
      </c>
      <c r="B379" t="s">
        <v>2169</v>
      </c>
      <c r="D379" t="s">
        <v>2170</v>
      </c>
      <c r="E379" t="s">
        <v>1098</v>
      </c>
      <c r="F379" t="s">
        <v>1086</v>
      </c>
      <c r="G379" t="s">
        <v>1073</v>
      </c>
      <c r="I379" t="s">
        <v>2171</v>
      </c>
      <c r="J379" t="s">
        <v>1148</v>
      </c>
      <c r="K379" s="216" t="s">
        <v>3915</v>
      </c>
      <c r="M379" t="str">
        <f t="shared" si="5"/>
        <v>"Portail magique": {
  "Name" : "Portail magique",
  "OV" : "Arcane Gate",
  "Level" : 6,
  "BBE" : "",
  "School" : "Invocation",
  "Incantation" : "1 action",
  "Type" : "Concentration",
  "Description" : "Crée 2 portails séparés de 150 m max et permet de passer de l'un à l'autre de manière transparente.",
  "Classes" :["SORCERER", "MAGICIAN", "OCCULT_KNIGHT", "ARCANE_SWINDLER", "WIZARD"]
   }</v>
      </c>
    </row>
    <row r="380" spans="1:13">
      <c r="A380">
        <v>6</v>
      </c>
      <c r="B380" t="s">
        <v>2184</v>
      </c>
      <c r="C380" t="s">
        <v>2185</v>
      </c>
      <c r="D380" t="s">
        <v>2186</v>
      </c>
      <c r="E380" t="s">
        <v>1155</v>
      </c>
      <c r="F380" t="s">
        <v>1099</v>
      </c>
      <c r="I380" t="s">
        <v>2187</v>
      </c>
      <c r="J380" t="s">
        <v>1088</v>
      </c>
      <c r="K380" s="216" t="s">
        <v>3922</v>
      </c>
      <c r="M380" t="str">
        <f t="shared" si="5"/>
        <v>"Prévoyance": {
  "Name" : "Prévoyance",
  "OV" : "Contingency",
  "Level" : 6,
  "BBE" : "Contingence",
  "School" : "Évocation",
  "Incantation" : "10 minutes",
  "Type" : "",
  "Description" : "Conditionne l'activation d'un sort de niveau 5 ou inférieur qui peut cibler le lanceur.",
  "Classes" :["MAGICIAN", "OCCULT_KNIGHT", "ARCANE_SWINDLER"]
   }</v>
      </c>
    </row>
    <row r="381" spans="1:13">
      <c r="A381">
        <v>6</v>
      </c>
      <c r="B381" t="s">
        <v>2192</v>
      </c>
      <c r="D381" t="s">
        <v>2193</v>
      </c>
      <c r="E381" t="s">
        <v>1128</v>
      </c>
      <c r="F381" t="s">
        <v>1086</v>
      </c>
      <c r="G381" t="s">
        <v>1073</v>
      </c>
      <c r="I381" t="s">
        <v>2194</v>
      </c>
      <c r="J381" t="s">
        <v>1082</v>
      </c>
      <c r="K381" s="216" t="s">
        <v>3915</v>
      </c>
      <c r="M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"OCCULT_KNIGHT", "ARCANE_SWINDLER", "WIZARD"]
   }</v>
      </c>
    </row>
    <row r="382" spans="1:13">
      <c r="A382">
        <v>6</v>
      </c>
      <c r="B382" t="s">
        <v>2225</v>
      </c>
      <c r="D382" t="s">
        <v>2226</v>
      </c>
      <c r="E382" t="s">
        <v>1079</v>
      </c>
      <c r="F382" t="s">
        <v>1086</v>
      </c>
      <c r="G382" t="s">
        <v>1073</v>
      </c>
      <c r="I382" t="s">
        <v>2227</v>
      </c>
      <c r="J382" t="s">
        <v>1082</v>
      </c>
      <c r="K382" s="216" t="s">
        <v>2926</v>
      </c>
      <c r="M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v>
      </c>
    </row>
    <row r="383" spans="1:13">
      <c r="A383">
        <v>6</v>
      </c>
      <c r="B383" t="s">
        <v>2228</v>
      </c>
      <c r="D383" t="s">
        <v>2229</v>
      </c>
      <c r="E383" t="s">
        <v>1079</v>
      </c>
      <c r="F383" t="s">
        <v>1099</v>
      </c>
      <c r="I383" t="s">
        <v>2230</v>
      </c>
      <c r="J383" t="s">
        <v>1088</v>
      </c>
      <c r="K383" s="216" t="s">
        <v>3923</v>
      </c>
      <c r="M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"OCCULT_KNIGHT", "ARCANE_SWINDLER"]
   }</v>
      </c>
    </row>
    <row r="384" spans="1:13">
      <c r="A384">
        <v>6</v>
      </c>
      <c r="B384" t="s">
        <v>2257</v>
      </c>
      <c r="D384" t="s">
        <v>2258</v>
      </c>
      <c r="E384" t="s">
        <v>1155</v>
      </c>
      <c r="F384" t="s">
        <v>1086</v>
      </c>
      <c r="G384" t="s">
        <v>1073</v>
      </c>
      <c r="I384" t="s">
        <v>2259</v>
      </c>
      <c r="J384" t="s">
        <v>1088</v>
      </c>
      <c r="K384" s="216" t="s">
        <v>3916</v>
      </c>
      <c r="M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"OCCULT_KNIGHT", "ARCANE_SWINDLER"]
   }</v>
      </c>
    </row>
    <row r="385" spans="1:13">
      <c r="A385">
        <v>6</v>
      </c>
      <c r="B385" t="s">
        <v>2316</v>
      </c>
      <c r="D385" t="s">
        <v>2317</v>
      </c>
      <c r="E385" t="s">
        <v>1085</v>
      </c>
      <c r="F385" t="s">
        <v>1086</v>
      </c>
      <c r="G385" t="s">
        <v>1073</v>
      </c>
      <c r="I385" t="s">
        <v>2318</v>
      </c>
      <c r="J385" t="s">
        <v>1082</v>
      </c>
      <c r="K385" s="216" t="s">
        <v>3918</v>
      </c>
      <c r="M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"OCCULT_KNIGHT", "ARCANE_SWINDLER", "WIZARD"]
   }</v>
      </c>
    </row>
    <row r="386" spans="1:13">
      <c r="A386">
        <v>6</v>
      </c>
      <c r="B386" t="s">
        <v>2319</v>
      </c>
      <c r="D386" t="s">
        <v>2320</v>
      </c>
      <c r="E386" t="s">
        <v>1085</v>
      </c>
      <c r="F386" t="s">
        <v>1086</v>
      </c>
      <c r="G386" t="s">
        <v>1073</v>
      </c>
      <c r="I386" t="s">
        <v>2321</v>
      </c>
      <c r="J386" t="s">
        <v>1082</v>
      </c>
      <c r="K386" s="216" t="s">
        <v>3918</v>
      </c>
      <c r="M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"OCCULT_KNIGHT", "ARCANE_SWINDLER", "WIZARD"]
   }</v>
      </c>
    </row>
    <row r="387" spans="1:13">
      <c r="A387">
        <v>6</v>
      </c>
      <c r="B387" t="s">
        <v>2322</v>
      </c>
      <c r="D387" t="s">
        <v>2323</v>
      </c>
      <c r="E387" t="s">
        <v>1085</v>
      </c>
      <c r="F387" t="s">
        <v>1086</v>
      </c>
      <c r="G387" t="s">
        <v>1073</v>
      </c>
      <c r="I387" t="s">
        <v>2324</v>
      </c>
      <c r="J387" t="s">
        <v>1082</v>
      </c>
      <c r="K387" s="216" t="s">
        <v>3918</v>
      </c>
      <c r="M387" t="str">
        <f t="shared" ref="M387:M450" si="6">""""&amp;B387&amp;""": {
  ""Name"" : """&amp;B387&amp;""",
  ""OV"" : """&amp;D387&amp;""",
  ""Level"" : "&amp;A387&amp;",
  ""BBE"" : """&amp;C387&amp;""",
  ""School"" : """&amp;PROPER(E387)&amp;""",
  ""Incantation"" : """&amp;F387&amp;""",
  ""Type"" : """&amp;TRIM(G387&amp;" "&amp;H387)&amp;""",
  ""Description"" : """&amp;I387&amp;""",
  ""Classes"" :["&amp;K387&amp;"]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"OCCULT_KNIGHT", "ARCANE_SWINDLER", "WIZARD"]
   }</v>
      </c>
    </row>
    <row r="388" spans="1:13">
      <c r="A388">
        <v>6</v>
      </c>
      <c r="B388" t="s">
        <v>2325</v>
      </c>
      <c r="D388" t="s">
        <v>2326</v>
      </c>
      <c r="E388" t="s">
        <v>1085</v>
      </c>
      <c r="F388" t="s">
        <v>1086</v>
      </c>
      <c r="G388" t="s">
        <v>1073</v>
      </c>
      <c r="I388" t="s">
        <v>2327</v>
      </c>
      <c r="J388" t="s">
        <v>1082</v>
      </c>
      <c r="K388" s="216" t="s">
        <v>3918</v>
      </c>
      <c r="M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"OCCULT_KNIGHT", "ARCANE_SWINDLER", "WIZARD"]
   }</v>
      </c>
    </row>
    <row r="389" spans="1:13">
      <c r="A389">
        <v>6</v>
      </c>
      <c r="B389" t="s">
        <v>2353</v>
      </c>
      <c r="C389" t="s">
        <v>2354</v>
      </c>
      <c r="D389" t="s">
        <v>2355</v>
      </c>
      <c r="E389" t="s">
        <v>1179</v>
      </c>
      <c r="F389" t="s">
        <v>1094</v>
      </c>
      <c r="G389" t="s">
        <v>1073</v>
      </c>
      <c r="I389" t="s">
        <v>2356</v>
      </c>
      <c r="J389" t="s">
        <v>1088</v>
      </c>
      <c r="K389" s="216" t="s">
        <v>2929</v>
      </c>
      <c r="M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v>
      </c>
    </row>
    <row r="390" spans="1:13">
      <c r="A390">
        <v>6</v>
      </c>
      <c r="B390" t="s">
        <v>2408</v>
      </c>
      <c r="C390" t="s">
        <v>2409</v>
      </c>
      <c r="D390" t="s">
        <v>2410</v>
      </c>
      <c r="E390" t="s">
        <v>1155</v>
      </c>
      <c r="F390" t="s">
        <v>1086</v>
      </c>
      <c r="I390" t="s">
        <v>2411</v>
      </c>
      <c r="J390" t="s">
        <v>1088</v>
      </c>
      <c r="K390" s="216" t="s">
        <v>3922</v>
      </c>
      <c r="M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"OCCULT_KNIGHT", "ARCANE_SWINDLER"]
   }</v>
      </c>
    </row>
    <row r="391" spans="1:13">
      <c r="A391">
        <v>6</v>
      </c>
      <c r="B391" t="s">
        <v>2421</v>
      </c>
      <c r="D391" t="s">
        <v>2422</v>
      </c>
      <c r="E391" t="s">
        <v>1109</v>
      </c>
      <c r="F391" t="s">
        <v>1086</v>
      </c>
      <c r="I391" t="s">
        <v>2423</v>
      </c>
      <c r="J391" t="s">
        <v>1088</v>
      </c>
      <c r="K391" s="216" t="s">
        <v>3913</v>
      </c>
      <c r="M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"OCCULT_KNIGHT", "ARCANE_SWINDLER", "WIZARD"]
   }</v>
      </c>
    </row>
    <row r="392" spans="1:13">
      <c r="A392">
        <v>6</v>
      </c>
      <c r="B392" t="s">
        <v>2464</v>
      </c>
      <c r="C392" t="s">
        <v>2465</v>
      </c>
      <c r="D392" t="s">
        <v>2466</v>
      </c>
      <c r="E392" t="s">
        <v>1085</v>
      </c>
      <c r="F392" t="s">
        <v>1086</v>
      </c>
      <c r="G392" t="s">
        <v>1073</v>
      </c>
      <c r="I392" t="s">
        <v>2467</v>
      </c>
      <c r="J392" t="s">
        <v>1088</v>
      </c>
      <c r="K392" s="216" t="s">
        <v>3916</v>
      </c>
      <c r="M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"OCCULT_KNIGHT", "ARCANE_SWINDLER"]
   }</v>
      </c>
    </row>
    <row r="393" spans="1:13">
      <c r="A393">
        <v>6</v>
      </c>
      <c r="B393" t="s">
        <v>2496</v>
      </c>
      <c r="D393" t="s">
        <v>2497</v>
      </c>
      <c r="E393" t="s">
        <v>1085</v>
      </c>
      <c r="F393" t="s">
        <v>1086</v>
      </c>
      <c r="G393" t="s">
        <v>1073</v>
      </c>
      <c r="I393" t="s">
        <v>2498</v>
      </c>
      <c r="J393" t="s">
        <v>1082</v>
      </c>
      <c r="K393" s="216" t="s">
        <v>3922</v>
      </c>
      <c r="M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"OCCULT_KNIGHT", "ARCANE_SWINDLER"]
   }</v>
      </c>
    </row>
    <row r="394" spans="1:13">
      <c r="A394">
        <v>6</v>
      </c>
      <c r="B394" t="s">
        <v>2502</v>
      </c>
      <c r="C394" t="s">
        <v>2503</v>
      </c>
      <c r="D394" t="s">
        <v>2504</v>
      </c>
      <c r="E394" t="s">
        <v>1098</v>
      </c>
      <c r="F394" t="s">
        <v>1086</v>
      </c>
      <c r="I394" t="s">
        <v>2505</v>
      </c>
      <c r="J394" t="s">
        <v>1088</v>
      </c>
      <c r="K394" s="216" t="s">
        <v>2926</v>
      </c>
      <c r="M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v>
      </c>
    </row>
    <row r="395" spans="1:13">
      <c r="A395">
        <v>6</v>
      </c>
      <c r="B395" t="s">
        <v>2511</v>
      </c>
      <c r="C395" t="s">
        <v>2512</v>
      </c>
      <c r="D395" t="s">
        <v>2513</v>
      </c>
      <c r="E395" t="s">
        <v>1121</v>
      </c>
      <c r="F395" t="s">
        <v>1094</v>
      </c>
      <c r="I395" t="s">
        <v>2514</v>
      </c>
      <c r="J395" t="s">
        <v>1088</v>
      </c>
      <c r="K395" s="216" t="s">
        <v>3922</v>
      </c>
      <c r="M395" t="str">
        <f t="shared" si="6"/>
        <v>"Urne magique": {
  "Name" : "Urne magique",
  "OV" : "Magic Jar",
  "Level" : 6,
  "BBE" : "Possession",
  "School" : "Nécromancie",
  "Incantation" : "1 minute",
  "Type" : "",
  "Description" : "Le lanceur projette son âme dans une urne pour ensuite retourner dans son corps ou posséder le corps d'un humanoïde.",
  "Classes" :["MAGICIAN", "OCCULT_KNIGHT", "ARCANE_SWINDLER"]
   }</v>
      </c>
    </row>
    <row r="396" spans="1:13">
      <c r="A396">
        <v>6</v>
      </c>
      <c r="B396" t="s">
        <v>2531</v>
      </c>
      <c r="D396" t="s">
        <v>2532</v>
      </c>
      <c r="E396" t="s">
        <v>1179</v>
      </c>
      <c r="F396" t="s">
        <v>1086</v>
      </c>
      <c r="I396" t="s">
        <v>2533</v>
      </c>
      <c r="J396" t="s">
        <v>1088</v>
      </c>
      <c r="K396" s="216" t="s">
        <v>3936</v>
      </c>
      <c r="M396" t="str">
        <f t="shared" si="6"/>
        <v>"Vision suprême": {
  "Name" : "Vision suprême",
  "OV" : "True Seeing",
  "Level" : 6,
  "BBE" : "",
  "School" : "Divination",
  "Incantation" : "1 action",
  "Type" : "",
  "Description" : "La cible obtient vision véritable, voit les portes secrètes magiques et dans le plan éthéré.",
  "Classes" :["BARD",  "CLERK", "SORCERER", "MAGICIAN", "OCCULT_KNIGHT", "ARCANE_SWINDLER", "WIZARD"]
   }</v>
      </c>
    </row>
    <row r="397" spans="1:13">
      <c r="A397">
        <v>7</v>
      </c>
      <c r="B397" t="s">
        <v>1242</v>
      </c>
      <c r="C397" t="s">
        <v>1243</v>
      </c>
      <c r="D397" t="s">
        <v>1244</v>
      </c>
      <c r="E397" t="s">
        <v>1155</v>
      </c>
      <c r="F397" t="s">
        <v>1086</v>
      </c>
      <c r="G397" t="s">
        <v>1073</v>
      </c>
      <c r="I397" t="s">
        <v>1245</v>
      </c>
      <c r="J397" t="s">
        <v>1088</v>
      </c>
      <c r="K397" s="216" t="s">
        <v>3914</v>
      </c>
      <c r="M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"OCCULT_KNIGHT", "ARCANE_SWINDLER"]
   }</v>
      </c>
    </row>
    <row r="398" spans="1:13">
      <c r="A398">
        <v>7</v>
      </c>
      <c r="B398" t="s">
        <v>1249</v>
      </c>
      <c r="D398" t="s">
        <v>1250</v>
      </c>
      <c r="E398" t="s">
        <v>1155</v>
      </c>
      <c r="F398" t="s">
        <v>1086</v>
      </c>
      <c r="I398" t="s">
        <v>1251</v>
      </c>
      <c r="J398" t="s">
        <v>1088</v>
      </c>
      <c r="K398" s="216" t="s">
        <v>3928</v>
      </c>
      <c r="M398" t="str">
        <f t="shared" si="6"/>
        <v>"Cage de force": {
  "Name" : "Cage de force",
  "OV" : "Forcecage",
  "Level" : 7,
  "BBE" : "",
  "School" : "Évocation",
  "Incantation" : "1 action",
  "Type" : "",
  "Description" : "Crée une cage de 6 m ou une boite de 3 m de force magique qui emprisonne une créature. Évasion possible par magie uniquement.",
  "Classes" :["BARD", "MAGICIAN", "OCCULT_KNIGHT", "ARCANE_SWINDLER", "WIZARD"]
   }</v>
      </c>
    </row>
    <row r="399" spans="1:13">
      <c r="A399">
        <v>7</v>
      </c>
      <c r="B399" t="s">
        <v>1288</v>
      </c>
      <c r="D399" t="s">
        <v>1289</v>
      </c>
      <c r="E399" t="s">
        <v>1098</v>
      </c>
      <c r="F399" t="s">
        <v>1086</v>
      </c>
      <c r="I399" t="s">
        <v>1290</v>
      </c>
      <c r="J399" t="s">
        <v>1088</v>
      </c>
      <c r="K399" s="216" t="s">
        <v>3945</v>
      </c>
      <c r="M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"OCCULT_KNIGHT", "ARCANE_SWINDLER", "WIZARD"]
   }</v>
      </c>
    </row>
    <row r="400" spans="1:13">
      <c r="A400">
        <v>7</v>
      </c>
      <c r="B400" t="s">
        <v>1426</v>
      </c>
      <c r="D400" t="s">
        <v>1427</v>
      </c>
      <c r="E400" t="s">
        <v>1155</v>
      </c>
      <c r="F400" t="s">
        <v>1086</v>
      </c>
      <c r="I400" t="s">
        <v>1428</v>
      </c>
      <c r="J400" t="s">
        <v>1082</v>
      </c>
      <c r="K400" s="216" t="s">
        <v>3915</v>
      </c>
      <c r="M400" t="str">
        <f t="shared" si="6"/>
        <v>"Couronne d'étoiles": {
  "Name" : "Couronne d'étoiles",
  "OV" : "Crown of Stars",
  "Level" : 7,
  "BBE" : "",
  "School" : "Évocation",
  "Incantation" : "1 action",
  "Type" : "",
  "Description" : "Si l'attaque avec un sort touche, 7 atomes infligent chacun 4d12 dégâts radiants (+1 atome/niv).",
  "Classes" :["SORCERER", "MAGICIAN", "OCCULT_KNIGHT", "ARCANE_SWINDLER", "WIZARD"]
   }</v>
      </c>
    </row>
    <row r="401" spans="1:13">
      <c r="A401">
        <v>7</v>
      </c>
      <c r="B401" t="s">
        <v>1500</v>
      </c>
      <c r="C401" t="s">
        <v>1501</v>
      </c>
      <c r="D401" t="s">
        <v>1502</v>
      </c>
      <c r="E401" t="s">
        <v>1085</v>
      </c>
      <c r="F401" t="s">
        <v>1086</v>
      </c>
      <c r="I401" t="s">
        <v>1503</v>
      </c>
      <c r="J401" t="s">
        <v>1088</v>
      </c>
      <c r="K401" s="216" t="s">
        <v>3922</v>
      </c>
      <c r="M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"Classes" :["MAGICIAN", "OCCULT_KNIGHT", "ARCANE_SWINDLER"]
   }</v>
      </c>
    </row>
    <row r="402" spans="1:13">
      <c r="A402">
        <v>7</v>
      </c>
      <c r="B402" t="s">
        <v>1515</v>
      </c>
      <c r="D402" t="s">
        <v>1516</v>
      </c>
      <c r="E402" t="s">
        <v>1121</v>
      </c>
      <c r="F402" t="s">
        <v>1086</v>
      </c>
      <c r="I402" t="s">
        <v>1517</v>
      </c>
      <c r="J402" t="s">
        <v>1088</v>
      </c>
      <c r="K402" s="216" t="s">
        <v>3915</v>
      </c>
      <c r="M402" t="str">
        <f t="shared" si="6"/>
        <v>"Doigt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"OCCULT_KNIGHT", "ARCANE_SWINDLER", "WIZARD"]
   }</v>
      </c>
    </row>
    <row r="403" spans="1:13">
      <c r="A403">
        <v>7</v>
      </c>
      <c r="B403" t="s">
        <v>1585</v>
      </c>
      <c r="D403" t="s">
        <v>1586</v>
      </c>
      <c r="E403" t="s">
        <v>1155</v>
      </c>
      <c r="F403" t="s">
        <v>1086</v>
      </c>
      <c r="G403" t="s">
        <v>1073</v>
      </c>
      <c r="I403" t="s">
        <v>1587</v>
      </c>
      <c r="J403" t="s">
        <v>1088</v>
      </c>
      <c r="K403" s="216" t="s">
        <v>3923</v>
      </c>
      <c r="M403" t="str">
        <f t="shared" si="6"/>
        <v>"Épée de Mordenkainen": {
  "Name" : "Épée de Mordenkainen",
  "OV" : "Mordenkainen's Sword",
  "Level" : 7,
  "BBE" : "",
  "School" : "Évocation",
  "Incantation" : "1 action",
  "Type" : "Concentration",
  "Description" : "Si l'attaque avec un sort touche, inflige 3d10 dégâts de force. L'épée peut se déplacer.",
  "Classes" :["BARD", "MAGICIAN", "OCCULT_KNIGHT", "ARCANE_SWINDLER"]
   }</v>
      </c>
    </row>
    <row r="404" spans="1:13">
      <c r="A404">
        <v>7</v>
      </c>
      <c r="B404" t="s">
        <v>1681</v>
      </c>
      <c r="D404" t="s">
        <v>1682</v>
      </c>
      <c r="E404" t="s">
        <v>1085</v>
      </c>
      <c r="F404" t="s">
        <v>1086</v>
      </c>
      <c r="I404" t="s">
        <v>1683</v>
      </c>
      <c r="J404" t="s">
        <v>1088</v>
      </c>
      <c r="K404" s="216" t="s">
        <v>3913</v>
      </c>
      <c r="M404" t="str">
        <f t="shared" si="6"/>
        <v>"Forme éthérée": {
  "Name" : "Forme éthérée",
  "OV" : "Etherealness",
  "Level" : 7,
  "BBE" : "",
  "School" : "Transmutation",
  "Incantation" : "1 action",
  "Type" : "",
  "Description" : "Le lanceur est projetté dans le plan éthéré (nbre de créatures/niv).",
  "Classes" :["BARD", "SORCERER", "MAGICIAN", "OCCULT_KNIGHT", "ARCANE_SWINDLER", "WIZARD"]
   }</v>
      </c>
    </row>
    <row r="405" spans="1:13">
      <c r="A405">
        <v>7</v>
      </c>
      <c r="B405" t="s">
        <v>1810</v>
      </c>
      <c r="D405" t="s">
        <v>1811</v>
      </c>
      <c r="E405" t="s">
        <v>1085</v>
      </c>
      <c r="F405" t="s">
        <v>1086</v>
      </c>
      <c r="G405" t="s">
        <v>1073</v>
      </c>
      <c r="I405" t="s">
        <v>1812</v>
      </c>
      <c r="J405" t="s">
        <v>1088</v>
      </c>
      <c r="K405" s="216" t="s">
        <v>3916</v>
      </c>
      <c r="M405" t="str">
        <f t="shared" si="6"/>
        <v>"Inversion de la gravité": {
  "Name" : "Inversion de la gravité",
  "OV" : "Reverse Gravity",
  "Level" : 7,
  "BBE" : "",
  "School" : "Transmutation",
  "Incantation" : "1 action",
  "Type" : "Concentration",
  "Description" : "Inverse la gravité dans un cylindre de 30 x 30 m.",
  "Classes" :["DRUID", "SORCERER", "MAGICIAN", "OCCULT_KNIGHT", "ARCANE_SWINDLER"]
   }</v>
      </c>
    </row>
    <row r="406" spans="1:13">
      <c r="A406">
        <v>7</v>
      </c>
      <c r="B406" t="s">
        <v>1835</v>
      </c>
      <c r="C406" t="s">
        <v>1836</v>
      </c>
      <c r="D406" t="s">
        <v>1837</v>
      </c>
      <c r="E406" t="s">
        <v>1098</v>
      </c>
      <c r="F406" t="s">
        <v>1094</v>
      </c>
      <c r="G406" t="s">
        <v>1073</v>
      </c>
      <c r="I406" t="s">
        <v>1838</v>
      </c>
      <c r="J406" t="s">
        <v>1088</v>
      </c>
      <c r="K406" s="216" t="s">
        <v>2923</v>
      </c>
      <c r="M406" t="str">
        <f t="shared" si="6"/>
        <v>"Invocation de céleste": {
  "Name" : "Invocation de céleste",
  "OV" : "Conjure Celestial",
  "Level" : 7,
  "BBE" : "Invoquer un céleste",
  "School" : "Invocation",
  "Incantation" : "1 minute",
  "Type" : "Concentration",
  "Description" : "Invoque 1 céleste FP 4 amical (FP +1/niv).",
  "Classes" :[ "CLERK"]
   }</v>
      </c>
    </row>
    <row r="407" spans="1:13">
      <c r="A407">
        <v>7</v>
      </c>
      <c r="B407" t="s">
        <v>1953</v>
      </c>
      <c r="D407" t="s">
        <v>1954</v>
      </c>
      <c r="E407" t="s">
        <v>1098</v>
      </c>
      <c r="F407" t="s">
        <v>1094</v>
      </c>
      <c r="I407" t="s">
        <v>1955</v>
      </c>
      <c r="J407" t="s">
        <v>1088</v>
      </c>
      <c r="K407" s="216" t="s">
        <v>3923</v>
      </c>
      <c r="M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"OCCULT_KNIGHT", "ARCANE_SWINDLER"]
   }</v>
      </c>
    </row>
    <row r="408" spans="1:13">
      <c r="A408">
        <v>7</v>
      </c>
      <c r="B408" t="s">
        <v>1990</v>
      </c>
      <c r="D408" t="s">
        <v>1991</v>
      </c>
      <c r="E408" t="s">
        <v>1128</v>
      </c>
      <c r="F408" t="s">
        <v>1099</v>
      </c>
      <c r="I408" t="s">
        <v>1992</v>
      </c>
      <c r="J408" t="s">
        <v>1088</v>
      </c>
      <c r="K408" s="216" t="s">
        <v>3929</v>
      </c>
      <c r="M408" t="str">
        <f t="shared" si="6"/>
        <v>"Mirage": {
  "Name" : "Mirage",
  "OV" : "Mirage Arcane",
  "Level" : 7,
  "BBE" : "",
  "School" : "Illusion",
  "Incantation" : "10 minutes",
  "Type" : "",
  "Description" : "Transforme l'apparence (à la vue, à l'ouïe, à l'odorat et au toucher) d'un carré de 1,5 km.",
  "Classes" :["BARD", "DRUID", "MAGICIAN", "OCCULT_KNIGHT", "ARCANE_SWINDLER"]
   }</v>
      </c>
    </row>
    <row r="409" spans="1:13">
      <c r="A409">
        <v>7</v>
      </c>
      <c r="B409" t="s">
        <v>2020</v>
      </c>
      <c r="D409" t="s">
        <v>2021</v>
      </c>
      <c r="E409" t="s">
        <v>1109</v>
      </c>
      <c r="F409" t="s">
        <v>1086</v>
      </c>
      <c r="I409" t="s">
        <v>2022</v>
      </c>
      <c r="J409" t="s">
        <v>1082</v>
      </c>
      <c r="K409" s="216" t="s">
        <v>3915</v>
      </c>
      <c r="M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"OCCULT_KNIGHT", "ARCANE_SWINDLER", "WIZARD"]
   }</v>
      </c>
    </row>
    <row r="410" spans="1:13">
      <c r="A410">
        <v>7</v>
      </c>
      <c r="B410" t="s">
        <v>2115</v>
      </c>
      <c r="D410" t="s">
        <v>2116</v>
      </c>
      <c r="E410" t="s">
        <v>1155</v>
      </c>
      <c r="F410" t="s">
        <v>1151</v>
      </c>
      <c r="I410" t="s">
        <v>2117</v>
      </c>
      <c r="J410" t="s">
        <v>1088</v>
      </c>
      <c r="K410" s="216" t="s">
        <v>2923</v>
      </c>
      <c r="M410" t="str">
        <f t="shared" si="6"/>
        <v>"Parole divine": {
  "Name" : "Parole divine",
  "OV" : "Divine Word",
  "Level" : 7,
  "BBE" : "",
  "School" : "Évocation",
  "Incantation" : "1 action bonus",
  "Type" : "",
  "Description" : "Les cibles doivent réussir un JdS de Cha. ou subir un effet (assourdi, aveuglé, etc). Certaines créatures sont bannies.",
  "Classes" :[ "CLERK"]
   }</v>
      </c>
    </row>
    <row r="411" spans="1:13">
      <c r="A411">
        <v>7</v>
      </c>
      <c r="B411" t="s">
        <v>2205</v>
      </c>
      <c r="C411" t="s">
        <v>2206</v>
      </c>
      <c r="D411" t="s">
        <v>2207</v>
      </c>
      <c r="E411" t="s">
        <v>1128</v>
      </c>
      <c r="F411" t="s">
        <v>1086</v>
      </c>
      <c r="G411" t="s">
        <v>1073</v>
      </c>
      <c r="I411" t="s">
        <v>2208</v>
      </c>
      <c r="J411" t="s">
        <v>1088</v>
      </c>
      <c r="K411" s="216" t="s">
        <v>3923</v>
      </c>
      <c r="M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"OCCULT_KNIGHT", "ARCANE_SWINDLER"]
   }</v>
      </c>
    </row>
    <row r="412" spans="1:13">
      <c r="A412">
        <v>7</v>
      </c>
      <c r="B412" t="s">
        <v>2266</v>
      </c>
      <c r="C412" t="s">
        <v>2267</v>
      </c>
      <c r="D412" t="s">
        <v>2268</v>
      </c>
      <c r="E412" t="s">
        <v>1155</v>
      </c>
      <c r="F412" t="s">
        <v>1086</v>
      </c>
      <c r="I412" t="s">
        <v>2269</v>
      </c>
      <c r="J412" t="s">
        <v>1088</v>
      </c>
      <c r="K412" s="216" t="s">
        <v>3914</v>
      </c>
      <c r="M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"OCCULT_KNIGHT", "ARCANE_SWINDLER"]
   }</v>
      </c>
    </row>
    <row r="413" spans="1:13">
      <c r="A413">
        <v>7</v>
      </c>
      <c r="B413" t="s">
        <v>2277</v>
      </c>
      <c r="D413" t="s">
        <v>2278</v>
      </c>
      <c r="E413" t="s">
        <v>1085</v>
      </c>
      <c r="F413" t="s">
        <v>1094</v>
      </c>
      <c r="I413" t="s">
        <v>2279</v>
      </c>
      <c r="J413" t="s">
        <v>1088</v>
      </c>
      <c r="K413" s="216" t="s">
        <v>2929</v>
      </c>
      <c r="M413" t="str">
        <f t="shared" si="6"/>
        <v>"Régénération": {
  "Name" : "Régénération",
  "OV" : "Regenerate",
  "Level" : 7,
  "BBE" : "",
  "School" : "Transmutation",
  "Incantation" : "1 minute",
  "Type" : "",
  "Description" : "La cible récupère 4d8+15 pv puis 1 pv par round et ses membres sectionnés repoussent.",
  "Classes" :["BARD",  "CLERK", "DRUID"]
   }</v>
      </c>
    </row>
    <row r="414" spans="1:13">
      <c r="A414">
        <v>7</v>
      </c>
      <c r="B414" t="s">
        <v>2307</v>
      </c>
      <c r="D414" t="s">
        <v>2308</v>
      </c>
      <c r="E414" t="s">
        <v>1121</v>
      </c>
      <c r="F414" t="s">
        <v>1132</v>
      </c>
      <c r="I414" t="s">
        <v>2309</v>
      </c>
      <c r="J414" t="s">
        <v>1088</v>
      </c>
      <c r="K414" s="216" t="s">
        <v>2924</v>
      </c>
      <c r="M414" t="str">
        <f t="shared" si="6"/>
        <v>"Résurrection": {
  "Name" : "Résurrection",
  "OV" : "Resurrection",
  "Level" : 7,
  "BBE" : "",
  "School" : "Nécromancie",
  "Incantation" : "1 heure",
  "Type" : "",
  "Description" : "Ramène à la vie (pv max) une créature morte depuis moins de 100 ans (sauf vieillesse). Restaure les parties du corps amputées.",
  "Classes" :["BARD",  "CLERK"]
   }</v>
      </c>
    </row>
    <row r="415" spans="1:13">
      <c r="A415">
        <v>7</v>
      </c>
      <c r="B415" t="s">
        <v>2372</v>
      </c>
      <c r="D415" t="s">
        <v>2373</v>
      </c>
      <c r="E415" t="s">
        <v>1128</v>
      </c>
      <c r="F415" t="s">
        <v>2374</v>
      </c>
      <c r="I415" t="s">
        <v>2375</v>
      </c>
      <c r="J415" t="s">
        <v>1088</v>
      </c>
      <c r="K415" s="216" t="s">
        <v>3922</v>
      </c>
      <c r="M415" t="str">
        <f t="shared" si="6"/>
        <v>"Simulacre": {
  "Name" : "Simulacre",
  "OV" : "Simulacrum",
  "Level" : 7,
  "BBE" : "",
  "School" : "Illusion",
  "Incantation" : "12 heures",
  "Type" : "",
  "Description" : "Crée un double d'une bête ou d'un humanoïde avec les mêmes capacités, la moitié des pv et sans équipement.",
  "Classes" :["MAGICIAN", "OCCULT_KNIGHT", "ARCANE_SWINDLER"]
   }</v>
      </c>
    </row>
    <row r="416" spans="1:13">
      <c r="A416">
        <v>7</v>
      </c>
      <c r="B416" t="s">
        <v>2424</v>
      </c>
      <c r="D416" t="s">
        <v>2425</v>
      </c>
      <c r="E416" t="s">
        <v>1079</v>
      </c>
      <c r="F416" t="s">
        <v>1094</v>
      </c>
      <c r="I416" t="s">
        <v>2426</v>
      </c>
      <c r="J416" t="s">
        <v>1088</v>
      </c>
      <c r="K416" s="216" t="s">
        <v>3935</v>
      </c>
      <c r="M416" t="str">
        <f t="shared" si="6"/>
        <v>"Symbole": {
  "Name" : "Symbole",
  "OV" : "Symbol",
  "Level" : 7,
  "BBE" : "",
  "School" : "Abjuration",
  "Incantation" : "1 minute",
  "Type" : "",
  "Description" : "Défini le déclencheur et l'effet d'un glyphe sur un objet (mort, discorde, peur, désespoir, démence, douleur, sommeil, etc).",
  "Classes" :["BARD",  "CLERK", "MAGICIAN", "OCCULT_KNIGHT", "ARCANE_SWINDLER"]
   }</v>
      </c>
    </row>
    <row r="417" spans="1:13">
      <c r="A417">
        <v>7</v>
      </c>
      <c r="B417" t="s">
        <v>2433</v>
      </c>
      <c r="D417" t="s">
        <v>2434</v>
      </c>
      <c r="E417" t="s">
        <v>1098</v>
      </c>
      <c r="F417" t="s">
        <v>1086</v>
      </c>
      <c r="I417" t="s">
        <v>2435</v>
      </c>
      <c r="J417" t="s">
        <v>1088</v>
      </c>
      <c r="K417" s="216" t="s">
        <v>3920</v>
      </c>
      <c r="M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"OCCULT_KNIGHT", "ARCANE_SWINDLER"]
   }</v>
      </c>
    </row>
    <row r="418" spans="1:13">
      <c r="A418">
        <v>7</v>
      </c>
      <c r="B418" t="s">
        <v>2436</v>
      </c>
      <c r="D418" t="s">
        <v>2437</v>
      </c>
      <c r="E418" t="s">
        <v>1155</v>
      </c>
      <c r="F418" t="s">
        <v>1086</v>
      </c>
      <c r="I418" t="s">
        <v>2438</v>
      </c>
      <c r="J418" t="s">
        <v>1088</v>
      </c>
      <c r="K418" s="216" t="s">
        <v>2932</v>
      </c>
      <c r="M418" t="str">
        <f t="shared" si="6"/>
        <v>"Tempête de feu": {
  "Name" : "Tempête de feu",
  "OV" : "Fire Storm",
  "Level" : 7,
  "BBE" : "",
  "School" : "Évocation",
  "Incantation" : "1 action",
  "Type" : "",
  "Description" : "Les créatures dans dix cubes de 3 m doivent réussir un JdS de Dex. ou subir 7d10 dégâts de feu.",
  "Classes" :[ "CLERK", "DRUID", "SORCERER"]
   }</v>
      </c>
    </row>
    <row r="419" spans="1:13">
      <c r="A419">
        <v>7</v>
      </c>
      <c r="B419" t="s">
        <v>2448</v>
      </c>
      <c r="D419" t="s">
        <v>2449</v>
      </c>
      <c r="E419" t="s">
        <v>1098</v>
      </c>
      <c r="F419" t="s">
        <v>1132</v>
      </c>
      <c r="I419" t="s">
        <v>2450</v>
      </c>
      <c r="J419" t="s">
        <v>1082</v>
      </c>
      <c r="K419" s="216" t="s">
        <v>2923</v>
      </c>
      <c r="M419" t="str">
        <f t="shared" si="6"/>
        <v>"Temple des dieux": {
  "Name" : "Temple des dieux",
  "OV" : "Temple of the Gods",
  "Level" : 7,
  "BBE" : "",
  "School" : "Invocation",
  "Incantation" : "1 heure",
  "Type" : "",
  "Description" : "Fait apparaitre un temple dédié à un dieu sur une surface de 36 x 36 m pour 1 jour.",
  "Classes" :[ "CLERK"]
   }</v>
      </c>
    </row>
    <row r="420" spans="1:13">
      <c r="A420">
        <v>7</v>
      </c>
      <c r="B420" t="s">
        <v>2484</v>
      </c>
      <c r="D420" t="s">
        <v>2485</v>
      </c>
      <c r="E420" t="s">
        <v>1155</v>
      </c>
      <c r="F420" t="s">
        <v>1086</v>
      </c>
      <c r="G420" t="s">
        <v>1073</v>
      </c>
      <c r="I420" t="s">
        <v>2486</v>
      </c>
      <c r="J420" t="s">
        <v>1082</v>
      </c>
      <c r="K420" s="216" t="s">
        <v>3916</v>
      </c>
      <c r="M420" t="str">
        <f t="shared" si="6"/>
        <v>"Tourbillon": {
  "Name" : "Tourbillon",
  "OV" : "Whirlwind",
  "Level" : 7,
  "BBE" : "",
  "School" : "Évocation",
  "Incantation" : "1 action",
  "Type" : "Concentration",
  "Description" : "Les créatures dans un cylindre de 3 x 9 m doivent réussir un JdS de Dex. ou subir 10d6 dégâts contondants.",
  "Classes" :["DRUID", "SORCERER", "MAGICIAN", "OCCULT_KNIGHT", "ARCANE_SWINDLER"]
   }</v>
      </c>
    </row>
    <row r="421" spans="1:13">
      <c r="A421">
        <v>8</v>
      </c>
      <c r="B421" t="s">
        <v>1205</v>
      </c>
      <c r="D421" t="s">
        <v>1206</v>
      </c>
      <c r="E421" t="s">
        <v>1079</v>
      </c>
      <c r="F421" t="s">
        <v>1086</v>
      </c>
      <c r="G421" t="s">
        <v>1073</v>
      </c>
      <c r="I421" t="s">
        <v>1207</v>
      </c>
      <c r="J421" t="s">
        <v>1088</v>
      </c>
      <c r="K421" s="216" t="s">
        <v>2923</v>
      </c>
      <c r="M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"Classes" :[ "CLERK"]
   }</v>
      </c>
    </row>
    <row r="422" spans="1:13">
      <c r="A422">
        <v>8</v>
      </c>
      <c r="B422" t="s">
        <v>1208</v>
      </c>
      <c r="D422" t="s">
        <v>1209</v>
      </c>
      <c r="E422" t="s">
        <v>1085</v>
      </c>
      <c r="F422" t="s">
        <v>1086</v>
      </c>
      <c r="I422" t="s">
        <v>1210</v>
      </c>
      <c r="J422" t="s">
        <v>1088</v>
      </c>
      <c r="K422" s="216" t="s">
        <v>2948</v>
      </c>
      <c r="M422" t="str">
        <f t="shared" si="6"/>
        <v>"Bagou": {
  "Name" : "Bagou",
  "OV" : "Glibness",
  "Level" : 8,
  "BBE" : "",
  "School" : "Transmutation",
  "Incantation" : "1 action",
  "Type" : "",
  "Description" : "Donne 15 à un jet de Charisme et masque les mensonges lors d'une détection magique.",
  "Classes" :["BARD", "WIZARD"]
   }</v>
      </c>
    </row>
    <row r="423" spans="1:13">
      <c r="A423">
        <v>8</v>
      </c>
      <c r="B423" t="s">
        <v>1282</v>
      </c>
      <c r="D423" t="s">
        <v>1283</v>
      </c>
      <c r="E423" t="s">
        <v>1079</v>
      </c>
      <c r="F423" t="s">
        <v>1086</v>
      </c>
      <c r="G423" t="s">
        <v>1073</v>
      </c>
      <c r="I423" t="s">
        <v>1284</v>
      </c>
      <c r="J423" t="s">
        <v>1088</v>
      </c>
      <c r="K423" s="216" t="s">
        <v>3930</v>
      </c>
      <c r="M423" t="str">
        <f t="shared" si="6"/>
        <v>"Champ antimagie": {
  "Name" : "Champ antimagie",
  "OV" : "Antimagic Field",
  "Level" : 8,
  "BBE" : "",
  "School" : "Abjuration",
  "Incantation" : "1 action",
  "Type" : "Concentration",
  "Description" : "Crée une sphère de 3 m de rayon dans laquelle les sorts et les objets magiques ne fonctionnent plus.",
  "Classes" :[ "CLERK", "MAGICIAN", "OCCULT_KNIGHT", "ARCANE_SWINDLER"]
   }</v>
      </c>
    </row>
    <row r="424" spans="1:13">
      <c r="A424">
        <v>8</v>
      </c>
      <c r="B424" t="s">
        <v>1333</v>
      </c>
      <c r="D424" t="s">
        <v>1333</v>
      </c>
      <c r="E424" t="s">
        <v>1121</v>
      </c>
      <c r="F424" t="s">
        <v>1132</v>
      </c>
      <c r="I424" t="s">
        <v>1334</v>
      </c>
      <c r="J424" t="s">
        <v>1088</v>
      </c>
      <c r="K424" s="216" t="s">
        <v>3922</v>
      </c>
      <c r="M424" t="str">
        <f t="shared" si="6"/>
        <v>"Clone": {
  "Name" : "Clone",
  "OV" : "Clone",
  "Level" : 8,
  "BBE" : "",
  "School" : "Nécromancie",
  "Incantation" : "1 heure",
  "Type" : "",
  "Description" : "Crée en 120 jours le double inerte d'une créature vivante. Si la créature originale meurt, son âme est transférée dans le clone.",
  "Classes" :["MAGICIAN", "OCCULT_KNIGHT", "ARCANE_SWINDLER"]
   }</v>
      </c>
    </row>
    <row r="425" spans="1:13">
      <c r="A425">
        <v>8</v>
      </c>
      <c r="B425" t="s">
        <v>1401</v>
      </c>
      <c r="D425" t="s">
        <v>1402</v>
      </c>
      <c r="E425" t="s">
        <v>1085</v>
      </c>
      <c r="F425" t="s">
        <v>1099</v>
      </c>
      <c r="G425" t="s">
        <v>1073</v>
      </c>
      <c r="I425" t="s">
        <v>1403</v>
      </c>
      <c r="J425" t="s">
        <v>1088</v>
      </c>
      <c r="K425" s="216" t="s">
        <v>3940</v>
      </c>
      <c r="M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"OCCULT_KNIGHT", "ARCANE_SWINDLER"]
   }</v>
      </c>
    </row>
    <row r="426" spans="1:13">
      <c r="A426">
        <v>8</v>
      </c>
      <c r="B426" t="s">
        <v>1479</v>
      </c>
      <c r="D426" t="s">
        <v>1480</v>
      </c>
      <c r="E426" t="s">
        <v>1098</v>
      </c>
      <c r="F426" t="s">
        <v>1086</v>
      </c>
      <c r="I426" t="s">
        <v>1481</v>
      </c>
      <c r="J426" t="s">
        <v>1088</v>
      </c>
      <c r="K426" s="216" t="s">
        <v>3919</v>
      </c>
      <c r="M426" t="str">
        <f t="shared" si="6"/>
        <v>"Demi-plan": {
  "Name" : "Demi-plan",
  "OV" : "Demiplane",
  "Level" : 8,
  "BBE" : "",
  "School" : "Invocation",
  "Incantation" : "1 action",
  "Type" : "",
  "Description" : "Crée une porte qui conduit à un demi-plan (cube de 9 m). Les créatures encore dans le demi-plan à la fin du sort sont piégées.",
  "Classes" :["MAGICIAN", "OCCULT_KNIGHT", "ARCANE_SWINDLER", "WIZARD"]
   }</v>
      </c>
    </row>
    <row r="427" spans="1:13">
      <c r="A427">
        <v>8</v>
      </c>
      <c r="B427" t="s">
        <v>1526</v>
      </c>
      <c r="C427" t="s">
        <v>1527</v>
      </c>
      <c r="D427" t="s">
        <v>1528</v>
      </c>
      <c r="E427" t="s">
        <v>1109</v>
      </c>
      <c r="F427" t="s">
        <v>1086</v>
      </c>
      <c r="G427" t="s">
        <v>1073</v>
      </c>
      <c r="I427" t="s">
        <v>1529</v>
      </c>
      <c r="J427" t="s">
        <v>1088</v>
      </c>
      <c r="K427" s="216" t="s">
        <v>3913</v>
      </c>
      <c r="M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"OCCULT_KNIGHT", "ARCANE_SWINDLER", "WIZARD"]
   }</v>
      </c>
    </row>
    <row r="428" spans="1:13">
      <c r="A428">
        <v>8</v>
      </c>
      <c r="B428" t="s">
        <v>1534</v>
      </c>
      <c r="D428" t="s">
        <v>1535</v>
      </c>
      <c r="E428" t="s">
        <v>1128</v>
      </c>
      <c r="F428" t="s">
        <v>1086</v>
      </c>
      <c r="G428" t="s">
        <v>1073</v>
      </c>
      <c r="I428" t="s">
        <v>1536</v>
      </c>
      <c r="J428" t="s">
        <v>1082</v>
      </c>
      <c r="K428" s="216" t="s">
        <v>3922</v>
      </c>
      <c r="M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"OCCULT_KNIGHT", "ARCANE_SWINDLER"]
   }</v>
      </c>
    </row>
    <row r="429" spans="1:13">
      <c r="A429">
        <v>8</v>
      </c>
      <c r="B429" t="s">
        <v>1557</v>
      </c>
      <c r="D429" t="s">
        <v>1558</v>
      </c>
      <c r="E429" t="s">
        <v>1155</v>
      </c>
      <c r="F429" t="s">
        <v>1086</v>
      </c>
      <c r="I429" t="s">
        <v>1559</v>
      </c>
      <c r="J429" t="s">
        <v>1088</v>
      </c>
      <c r="K429" s="216" t="s">
        <v>3916</v>
      </c>
      <c r="M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"OCCULT_KNIGHT", "ARCANE_SWINDLER"]
   }</v>
      </c>
    </row>
    <row r="430" spans="1:13">
      <c r="A430">
        <v>8</v>
      </c>
      <c r="B430" t="s">
        <v>1594</v>
      </c>
      <c r="D430" t="s">
        <v>1595</v>
      </c>
      <c r="E430" t="s">
        <v>1109</v>
      </c>
      <c r="F430" t="s">
        <v>1086</v>
      </c>
      <c r="I430" t="s">
        <v>1596</v>
      </c>
      <c r="J430" t="s">
        <v>1088</v>
      </c>
      <c r="K430" s="216" t="s">
        <v>3941</v>
      </c>
      <c r="M430" t="str">
        <f t="shared" si="6"/>
        <v>"Esprit faible": {
  "Name" : "Esprit faible",
  "OV" : "Feeblemind",
  "Level" : 8,
  "BBE" : "",
  "School" : "Enchantement",
  "Incantation" : "1 action",
  "Type" : "",
  "Description" : "La cible subit 4d6 dégâts psychiques et doit réussir un JdS d'Int. ou son Charisme et son Intelligence tombent à 1.",
  "Classes" :["BARD", "DRUID", "MAGICIAN", "OCCULT_KNIGHT", "ARCANE_SWINDLER", "WIZARD"]
   }</v>
      </c>
    </row>
    <row r="431" spans="1:13">
      <c r="A431">
        <v>8</v>
      </c>
      <c r="B431" t="s">
        <v>1007</v>
      </c>
      <c r="D431" t="s">
        <v>1600</v>
      </c>
      <c r="E431" t="s">
        <v>1079</v>
      </c>
      <c r="F431" t="s">
        <v>1086</v>
      </c>
      <c r="I431" t="s">
        <v>1601</v>
      </c>
      <c r="J431" t="s">
        <v>1088</v>
      </c>
      <c r="K431" s="216" t="s">
        <v>3923</v>
      </c>
      <c r="M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"OCCULT_KNIGHT", "ARCANE_SWINDLER"]
   }</v>
      </c>
    </row>
    <row r="432" spans="1:13">
      <c r="A432">
        <v>8</v>
      </c>
      <c r="B432" t="s">
        <v>1671</v>
      </c>
      <c r="C432" t="s">
        <v>1672</v>
      </c>
      <c r="D432" t="s">
        <v>1673</v>
      </c>
      <c r="E432" t="s">
        <v>1121</v>
      </c>
      <c r="F432" t="s">
        <v>1086</v>
      </c>
      <c r="I432" t="s">
        <v>1674</v>
      </c>
      <c r="J432" t="s">
        <v>1082</v>
      </c>
      <c r="K432" s="216" t="s">
        <v>3914</v>
      </c>
      <c r="M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"OCCULT_KNIGHT", "ARCANE_SWINDLER"]
   }</v>
      </c>
    </row>
    <row r="433" spans="1:13">
      <c r="A433">
        <v>8</v>
      </c>
      <c r="B433" t="s">
        <v>1687</v>
      </c>
      <c r="D433" t="s">
        <v>1688</v>
      </c>
      <c r="E433" t="s">
        <v>1085</v>
      </c>
      <c r="F433" t="s">
        <v>1086</v>
      </c>
      <c r="G433" t="s">
        <v>1073</v>
      </c>
      <c r="I433" t="s">
        <v>1689</v>
      </c>
      <c r="J433" t="s">
        <v>1088</v>
      </c>
      <c r="K433" s="216" t="s">
        <v>2926</v>
      </c>
      <c r="M433" t="str">
        <f t="shared" si="6"/>
        <v>"Formes animales": {
  "Name" : "Formes animales",
  "OV" : "Animal Shapes",
  "Level" : 8,
  "BBE" : "",
  "School" : "Transmutation",
  "Incantation" : "1 action",
  "Type" : "Concentration",
  "Description" : "Les cibles consentantes à 9 m se transforment en bêtes de FP 4 ou inférieur.",
  "Classes" :["DRUID"]
   }</v>
      </c>
    </row>
    <row r="434" spans="1:13">
      <c r="A434">
        <v>8</v>
      </c>
      <c r="B434" t="s">
        <v>1690</v>
      </c>
      <c r="D434" t="s">
        <v>1691</v>
      </c>
      <c r="E434" t="s">
        <v>1098</v>
      </c>
      <c r="F434" t="s">
        <v>1094</v>
      </c>
      <c r="I434" t="s">
        <v>1692</v>
      </c>
      <c r="J434" t="s">
        <v>1082</v>
      </c>
      <c r="K434" s="216" t="s">
        <v>3922</v>
      </c>
      <c r="M434" t="str">
        <f t="shared" si="6"/>
        <v>"Forteresse majestueuse": {
  "Name" : "Forteresse majestueuse",
  "OV" : "Mighty Fortress",
  "Level" : 8,
  "BBE" : "",
  "School" : "Invocation",
  "Incantation" : "1 minute",
  "Type" : "",
  "Description" : "Fait apparaitre une forteresse de pierre sur une surface de 36 x 36 m pour 7 jours.",
  "Classes" :["MAGICIAN", "OCCULT_KNIGHT", "ARCANE_SWINDLER"]
   }</v>
      </c>
    </row>
    <row r="435" spans="1:13">
      <c r="A435">
        <v>8</v>
      </c>
      <c r="B435" t="s">
        <v>1863</v>
      </c>
      <c r="D435" t="s">
        <v>1864</v>
      </c>
      <c r="E435" t="s">
        <v>1098</v>
      </c>
      <c r="F435" t="s">
        <v>1086</v>
      </c>
      <c r="G435" t="s">
        <v>1073</v>
      </c>
      <c r="I435" t="s">
        <v>1865</v>
      </c>
      <c r="J435" t="s">
        <v>1088</v>
      </c>
      <c r="K435" s="216" t="s">
        <v>3922</v>
      </c>
      <c r="M435" t="str">
        <f t="shared" si="6"/>
        <v>"Labyrinthe": {
  "Name" : "Labyrinthe",
  "OV" : "Maze",
  "Level" : 8,
  "BBE" : "",
  "School" : "Invocation",
  "Incantation" : "1 action",
  "Type" : "Concentration",
  "Description" : "Bannit une créature dans un demi-plan labyrinthique. Jet d'Intelligence pour s'évader avant la fin du sort.",
  "Classes" :["MAGICIAN", "OCCULT_KNIGHT", "ARCANE_SWINDLER"]
   }</v>
      </c>
    </row>
    <row r="436" spans="1:13">
      <c r="A436">
        <v>8</v>
      </c>
      <c r="B436" t="s">
        <v>2023</v>
      </c>
      <c r="D436" t="s">
        <v>2024</v>
      </c>
      <c r="E436" t="s">
        <v>1109</v>
      </c>
      <c r="F436" t="s">
        <v>1086</v>
      </c>
      <c r="I436" t="s">
        <v>2025</v>
      </c>
      <c r="J436" t="s">
        <v>1088</v>
      </c>
      <c r="K436" s="216" t="s">
        <v>3913</v>
      </c>
      <c r="M436" t="str">
        <f t="shared" si="6"/>
        <v>"Mot de pouvoir étourdissant": {
  "Name" : "Mot de pouvoir étourdissant",
  "OV" : "Power Word Stun",
  "Level" : 8,
  "BBE" : "",
  "School" : "Enchantement",
  "Incantation" : "1 action",
  "Type" : "",
  "Description" : "La cible (150 pv max) est étourdie jusqu'à ce qu'elle réussisse un JdS de Con.",
  "Classes" :["BARD", "SORCERER", "MAGICIAN", "OCCULT_KNIGHT", "ARCANE_SWINDLER", "WIZARD"]
   }</v>
      </c>
    </row>
    <row r="437" spans="1:13">
      <c r="A437">
        <v>8</v>
      </c>
      <c r="B437" t="s">
        <v>2081</v>
      </c>
      <c r="D437" t="s">
        <v>2082</v>
      </c>
      <c r="E437" t="s">
        <v>1098</v>
      </c>
      <c r="F437" t="s">
        <v>1086</v>
      </c>
      <c r="G437" t="s">
        <v>1073</v>
      </c>
      <c r="I437" t="s">
        <v>2083</v>
      </c>
      <c r="J437" t="s">
        <v>1088</v>
      </c>
      <c r="K437" s="216" t="s">
        <v>3914</v>
      </c>
      <c r="M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"OCCULT_KNIGHT", "ARCANE_SWINDLER"]
   }</v>
      </c>
    </row>
    <row r="438" spans="1:13">
      <c r="A438">
        <v>8</v>
      </c>
      <c r="B438" s="88" t="s">
        <v>2951</v>
      </c>
      <c r="D438" t="s">
        <v>2292</v>
      </c>
      <c r="E438" t="s">
        <v>1109</v>
      </c>
      <c r="F438" t="s">
        <v>1132</v>
      </c>
      <c r="I438" t="s">
        <v>2293</v>
      </c>
      <c r="J438" t="s">
        <v>1088</v>
      </c>
      <c r="K438" s="216" t="s">
        <v>3933</v>
      </c>
      <c r="M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"OCCULT_KNIGHT", "ARCANE_SWINDLER"]
   }</v>
      </c>
    </row>
    <row r="439" spans="1:13">
      <c r="A439">
        <v>8</v>
      </c>
      <c r="B439" t="s">
        <v>2430</v>
      </c>
      <c r="D439" t="s">
        <v>2431</v>
      </c>
      <c r="E439" t="s">
        <v>1155</v>
      </c>
      <c r="F439" t="s">
        <v>1086</v>
      </c>
      <c r="I439" t="s">
        <v>2432</v>
      </c>
      <c r="J439" t="s">
        <v>1148</v>
      </c>
      <c r="K439" s="216" t="s">
        <v>3922</v>
      </c>
      <c r="M439" t="str">
        <f>""""&amp;B439&amp;""": {
  ""Name"" : """&amp;B439&amp;""",
  ""OV"" : """&amp;D439&amp;""",
  ""Level"" : "&amp;A439&amp;",
  ""BBE"" : """&amp;C439&amp;""",
  ""School"" : """&amp;PROPER(E439)&amp;""",
  ""Incantation"" : """&amp;F439&amp;""",
  ""Type"" : """&amp;TRIM(G439&amp;" "&amp;H439)&amp;""",
  ""Description"" : """&amp;I439&amp;""",
  ""Classes"" :["&amp;K439&amp;"]
   }"</f>
        <v>"Télépathie": {
  "Name" : "Télépathie",
  "OV" : "Telepathy",
  "Level" : 8,
  "BBE" : "",
  "School" : "Évocation",
  "Incantation" : "1 action",
  "Type" : "",
  "Description" : "Communique par télépathie avec une créature connue et consentante sur le même plan d'existence.",
  "Classes" :["MAGICIAN", "OCCULT_KNIGHT", "ARCANE_SWINDLER"]
   }</v>
      </c>
    </row>
    <row r="440" spans="1:13">
      <c r="A440">
        <v>8</v>
      </c>
      <c r="B440" t="s">
        <v>2454</v>
      </c>
      <c r="D440" t="s">
        <v>2455</v>
      </c>
      <c r="E440" t="s">
        <v>1155</v>
      </c>
      <c r="F440" t="s">
        <v>1086</v>
      </c>
      <c r="G440" t="s">
        <v>1073</v>
      </c>
      <c r="I440" t="s">
        <v>2456</v>
      </c>
      <c r="J440" t="s">
        <v>1082</v>
      </c>
      <c r="K440" s="216" t="s">
        <v>3919</v>
      </c>
      <c r="M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"OCCULT_KNIGHT", "ARCANE_SWINDLER", "WIZARD"]
   }</v>
      </c>
    </row>
    <row r="441" spans="1:13">
      <c r="A441">
        <v>8</v>
      </c>
      <c r="B441" t="s">
        <v>2506</v>
      </c>
      <c r="D441" t="s">
        <v>2507</v>
      </c>
      <c r="E441" t="s">
        <v>1155</v>
      </c>
      <c r="F441" t="s">
        <v>1086</v>
      </c>
      <c r="G441" t="s">
        <v>1073</v>
      </c>
      <c r="I441" t="s">
        <v>2508</v>
      </c>
      <c r="J441" t="s">
        <v>1088</v>
      </c>
      <c r="K441" s="216" t="s">
        <v>2932</v>
      </c>
      <c r="M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v>
      </c>
    </row>
    <row r="442" spans="1:13">
      <c r="A442">
        <v>8</v>
      </c>
      <c r="B442" t="s">
        <v>2509</v>
      </c>
      <c r="D442" t="s">
        <v>2509</v>
      </c>
      <c r="E442" t="s">
        <v>1098</v>
      </c>
      <c r="F442" t="s">
        <v>1094</v>
      </c>
      <c r="G442" t="s">
        <v>1073</v>
      </c>
      <c r="I442" t="s">
        <v>2510</v>
      </c>
      <c r="J442" t="s">
        <v>1148</v>
      </c>
      <c r="K442" s="216" t="s">
        <v>2926</v>
      </c>
      <c r="M442" t="str">
        <f t="shared" si="6"/>
        <v>"Tsunami": {
  "Name" : "Tsunami",
  "OV" : "Tsunami",
  "Level" : 8,
  "BBE" : "",
  "School" : "Invocation",
  "Incantation" : "1 minute",
  "Type" : "Concentration",
  "Description" : "Les créatures dans une zone de 90 x 90 x 15 m doivent réussir un JdS de For. ou subir 6d10 dégâts contondants.",
  "Classes" :["DRUID"]
   }</v>
      </c>
    </row>
    <row r="443" spans="1:13">
      <c r="A443">
        <v>9</v>
      </c>
      <c r="B443" t="s">
        <v>1167</v>
      </c>
      <c r="D443" t="s">
        <v>1168</v>
      </c>
      <c r="E443" t="s">
        <v>1085</v>
      </c>
      <c r="F443" t="s">
        <v>1086</v>
      </c>
      <c r="I443" t="s">
        <v>1169</v>
      </c>
      <c r="J443" t="s">
        <v>1088</v>
      </c>
      <c r="K443" s="216" t="s">
        <v>3914</v>
      </c>
      <c r="M443" t="str">
        <f t="shared" si="6"/>
        <v>"Arrêt du temps": {
  "Name" : "Arrêt du temps",
  "OV" : "Time Stop",
  "Level" : 9,
  "BBE" : "",
  "School" : "Transmutation",
  "Incantation" : "1 action",
  "Type" : "",
  "Description" : "Arrête le temps durant 1d4+1 tours pour tout le monde sauf pour le lanceur.",
  "Classes" :["SORCERER", "MAGICIAN", "OCCULT_KNIGHT", "ARCANE_SWINDLER"]
   }</v>
      </c>
    </row>
    <row r="444" spans="1:13">
      <c r="A444">
        <v>9</v>
      </c>
      <c r="B444" t="s">
        <v>1285</v>
      </c>
      <c r="D444" t="s">
        <v>1286</v>
      </c>
      <c r="E444" t="s">
        <v>1085</v>
      </c>
      <c r="F444" t="s">
        <v>1086</v>
      </c>
      <c r="G444" t="s">
        <v>1073</v>
      </c>
      <c r="I444" t="s">
        <v>1287</v>
      </c>
      <c r="J444" t="s">
        <v>1088</v>
      </c>
      <c r="K444" s="216" t="s">
        <v>3933</v>
      </c>
      <c r="M444" t="str">
        <f t="shared" si="6"/>
        <v>"Changement de forme": {
  "Name" : "Changement de forme",
  "OV" : "Shapechange",
  "Level" : 9,
  "BBE" : "",
  "School" : "Transmutation",
  "Incantation" : "1 action",
  "Type" : "Concentration",
  "Description" : "Le lanceur prend la forme d'une créature qu'il a déjà vue d'un FP égal ou inférieur à son niveau.",
  "Classes" :["DRUID", "MAGICIAN", "OCCULT_KNIGHT", "ARCANE_SWINDLER"]
   }</v>
      </c>
    </row>
    <row r="445" spans="1:13">
      <c r="A445">
        <v>9</v>
      </c>
      <c r="B445" t="s">
        <v>1566</v>
      </c>
      <c r="D445" t="s">
        <v>1567</v>
      </c>
      <c r="E445" t="s">
        <v>1079</v>
      </c>
      <c r="F445" t="s">
        <v>1094</v>
      </c>
      <c r="I445" t="s">
        <v>1568</v>
      </c>
      <c r="J445" t="s">
        <v>1088</v>
      </c>
      <c r="K445" s="216" t="s">
        <v>3919</v>
      </c>
      <c r="M445" t="str">
        <f t="shared" si="6"/>
        <v>"Emprisonnement": {
  "Name" : "Emprisonnement",
  "OV" : "Imprisonment",
  "Level" : 9,
  "BBE" : "",
  "School" : "Abjuration",
  "Incantation" : "1 minute",
  "Type" : "",
  "Description" : "La cible à 9 m doit réussir un JdS de Sag. ou être retenue prisonnière. La forme est à choisir parmi 6 options.",
  "Classes" :["MAGICIAN", "OCCULT_KNIGHT", "ARCANE_SWINDLER", "WIZARD"]
   }</v>
      </c>
    </row>
    <row r="446" spans="1:13">
      <c r="A446">
        <v>9</v>
      </c>
      <c r="B446" t="s">
        <v>1575</v>
      </c>
      <c r="C446" t="s">
        <v>1576</v>
      </c>
      <c r="D446" t="s">
        <v>1577</v>
      </c>
      <c r="E446" t="s">
        <v>1128</v>
      </c>
      <c r="F446" t="s">
        <v>1086</v>
      </c>
      <c r="G446" t="s">
        <v>1073</v>
      </c>
      <c r="I446" t="s">
        <v>1578</v>
      </c>
      <c r="J446" t="s">
        <v>1088</v>
      </c>
      <c r="K446" s="216" t="s">
        <v>3922</v>
      </c>
      <c r="M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"OCCULT_KNIGHT", "ARCANE_SWINDLER"]
   }</v>
      </c>
    </row>
    <row r="447" spans="1:13">
      <c r="A447">
        <v>9</v>
      </c>
      <c r="B447" t="s">
        <v>1760</v>
      </c>
      <c r="D447" t="s">
        <v>1761</v>
      </c>
      <c r="E447" t="s">
        <v>1155</v>
      </c>
      <c r="F447" t="s">
        <v>1086</v>
      </c>
      <c r="I447" t="s">
        <v>1762</v>
      </c>
      <c r="J447" t="s">
        <v>1088</v>
      </c>
      <c r="K447" s="216" t="s">
        <v>2923</v>
      </c>
      <c r="M447" t="str">
        <f t="shared" si="6"/>
        <v>"Guérison de groupe": {
  "Name" : "Guérison de groupe",
  "OV" : "Mass Heal",
  "Level" : 9,
  "BBE" : "",
  "School" : "Évocation",
  "Incantation" : "1 action",
  "Type" : "",
  "Description" : "Plusieurs créatures récupèrent un total de 700 pv et sont guéries des maladies, de l'aveuglement et de la surdité.",
  "Classes" :[ "CLERK"]
   }</v>
      </c>
    </row>
    <row r="448" spans="1:13">
      <c r="A448">
        <v>9</v>
      </c>
      <c r="B448" t="s">
        <v>1769</v>
      </c>
      <c r="D448" t="s">
        <v>1770</v>
      </c>
      <c r="E448" t="s">
        <v>1109</v>
      </c>
      <c r="F448" t="s">
        <v>1086</v>
      </c>
      <c r="I448" t="s">
        <v>1771</v>
      </c>
      <c r="J448" t="s">
        <v>1082</v>
      </c>
      <c r="K448" s="216" t="s">
        <v>3913</v>
      </c>
      <c r="M448" t="str">
        <f t="shared" si="6"/>
        <v>"Hurlement psychique": {
  "Name" : "Hurlement psychique",
  "OV" : "Psychic Scream",
  "Level" : 9,
  "BBE" : "",
  "School" : "Enchantement",
  "Incantation" : "1 action",
  "Type" : "",
  "Description" : "Jusqu'à 10 créatures doivent réussir un JdS d'Int. ou subir 14d6 dégâts psychiques.",
  "Classes" :["BARD", "SORCERER", "MAGICIAN", "OCCULT_KNIGHT", "ARCANE_SWINDLER", "WIZARD"]
   }</v>
      </c>
    </row>
    <row r="449" spans="1:13">
      <c r="A449">
        <v>9</v>
      </c>
      <c r="B449" t="s">
        <v>1860</v>
      </c>
      <c r="D449" t="s">
        <v>1861</v>
      </c>
      <c r="E449" t="s">
        <v>1079</v>
      </c>
      <c r="F449" t="s">
        <v>1086</v>
      </c>
      <c r="G449" t="s">
        <v>1073</v>
      </c>
      <c r="I449" t="s">
        <v>1862</v>
      </c>
      <c r="J449" t="s">
        <v>1082</v>
      </c>
      <c r="K449" s="216" t="s">
        <v>3922</v>
      </c>
      <c r="M449" t="str">
        <f t="shared" si="6"/>
        <v>"Invulnérabilité": {
  "Name" : "Invulnérabilité",
  "OV" : "Invulnerability",
  "Level" : 9,
  "BBE" : "",
  "School" : "Abjuration",
  "Incantation" : "1 action",
  "Type" : "Concentration",
  "Description" : "Le lanceur gagne l'immunité à tous les dégàts.",
  "Classes" :["MAGICIAN", "OCCULT_KNIGHT", "ARCANE_SWINDLER"]
   }</v>
      </c>
    </row>
    <row r="450" spans="1:13">
      <c r="A450">
        <v>9</v>
      </c>
      <c r="B450" t="s">
        <v>1980</v>
      </c>
      <c r="C450" t="s">
        <v>1981</v>
      </c>
      <c r="D450" t="s">
        <v>1982</v>
      </c>
      <c r="E450" t="s">
        <v>1085</v>
      </c>
      <c r="F450" t="s">
        <v>1086</v>
      </c>
      <c r="G450" t="s">
        <v>1073</v>
      </c>
      <c r="I450" t="s">
        <v>1983</v>
      </c>
      <c r="J450" t="s">
        <v>1082</v>
      </c>
      <c r="K450" s="216" t="s">
        <v>3923</v>
      </c>
      <c r="M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"OCCULT_KNIGHT", "ARCANE_SWINDLER"]
   }</v>
      </c>
    </row>
    <row r="451" spans="1:13">
      <c r="A451">
        <v>9</v>
      </c>
      <c r="B451" t="s">
        <v>1984</v>
      </c>
      <c r="D451" t="s">
        <v>1985</v>
      </c>
      <c r="E451" t="s">
        <v>1085</v>
      </c>
      <c r="F451" t="s">
        <v>1086</v>
      </c>
      <c r="G451" t="s">
        <v>1073</v>
      </c>
      <c r="I451" t="s">
        <v>1986</v>
      </c>
      <c r="J451" t="s">
        <v>1088</v>
      </c>
      <c r="K451" s="216" t="s">
        <v>3928</v>
      </c>
      <c r="M451" t="str">
        <f t="shared" ref="M451:M461" si="7">""""&amp;B451&amp;""": {
  ""Name"" : """&amp;B451&amp;""",
  ""OV"" : """&amp;D451&amp;""",
  ""Level"" : "&amp;A451&amp;",
  ""BBE"" : """&amp;C451&amp;""",
  ""School"" : """&amp;PROPER(E451)&amp;""",
  ""Incantation"" : """&amp;F451&amp;""",
  ""Type"" : """&amp;TRIM(G451&amp;" "&amp;H451)&amp;""",
  ""Description"" : """&amp;I451&amp;""",
  ""Classes"" :["&amp;K451&amp;"]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"OCCULT_KNIGHT", "ARCANE_SWINDLER", "WIZARD"]
   }</v>
      </c>
    </row>
    <row r="452" spans="1:13">
      <c r="A452">
        <v>9</v>
      </c>
      <c r="B452" t="s">
        <v>2026</v>
      </c>
      <c r="D452" t="s">
        <v>2027</v>
      </c>
      <c r="E452" t="s">
        <v>1155</v>
      </c>
      <c r="F452" t="s">
        <v>1086</v>
      </c>
      <c r="I452" t="s">
        <v>2028</v>
      </c>
      <c r="J452" t="s">
        <v>1148</v>
      </c>
      <c r="K452" s="216" t="s">
        <v>2920</v>
      </c>
      <c r="M452" t="str">
        <f>""""&amp;B452&amp;""": {
  ""Name"" : """&amp;B452&amp;""",
  ""OV"" : """&amp;D452&amp;""",
  ""Level"" : "&amp;A452&amp;",
  ""BBE"" : """&amp;C452&amp;""",
  ""School"" : """&amp;PROPER(E452)&amp;""",
  ""Incantation"" : """&amp;F452&amp;""",
  ""Type"" : """&amp;TRIM(G452&amp;" "&amp;H452)&amp;""",
  ""Description"" : """&amp;I452&amp;""",
  ""Classes"" :["&amp;K452&amp;"]
   }"</f>
        <v>"Mot de pouvoir guérisseur": {
  "Name" : "Mot de pouvoir guérisseur",
  "OV" : "Power Word Heal",
  "Level" : 9,
  "BBE" : "",
  "School" : "Évocation",
  "Incantation" : "1 action",
  "Type" : "",
  "Description" : "La cible récupère tous ses points de vie et perd les conditions charmé, effrayé, paralysé et étourdi.",
  "Classes" :["BARD"]
   }</v>
      </c>
    </row>
    <row r="453" spans="1:13">
      <c r="A453">
        <v>9</v>
      </c>
      <c r="B453" t="s">
        <v>2029</v>
      </c>
      <c r="D453" t="s">
        <v>2030</v>
      </c>
      <c r="E453" t="s">
        <v>1109</v>
      </c>
      <c r="F453" t="s">
        <v>1086</v>
      </c>
      <c r="I453" t="s">
        <v>2031</v>
      </c>
      <c r="J453" t="s">
        <v>1088</v>
      </c>
      <c r="K453" s="216" t="s">
        <v>3913</v>
      </c>
      <c r="M453" t="str">
        <f t="shared" si="7"/>
        <v>"Mot de pouvoir mortel": {
  "Name" : "Mot de pouvoir mortel",
  "OV" : "Power Word Kill",
  "Level" : 9,
  "BBE" : "",
  "School" : "Enchantement",
  "Incantation" : "1 action",
  "Type" : "",
  "Description" : "La cible (100 pv max) meurt !",
  "Classes" :["BARD", "SORCERER", "MAGICIAN", "OCCULT_KNIGHT", "ARCANE_SWINDLER", "WIZARD"]
   }</v>
      </c>
    </row>
    <row r="454" spans="1:13">
      <c r="A454">
        <v>9</v>
      </c>
      <c r="B454" t="s">
        <v>2069</v>
      </c>
      <c r="D454" t="s">
        <v>2070</v>
      </c>
      <c r="E454" t="s">
        <v>1079</v>
      </c>
      <c r="F454" t="s">
        <v>1086</v>
      </c>
      <c r="I454" t="s">
        <v>2071</v>
      </c>
      <c r="J454" t="s">
        <v>1088</v>
      </c>
      <c r="K454" s="216" t="s">
        <v>3922</v>
      </c>
      <c r="M454" t="str">
        <f t="shared" si="7"/>
        <v>"Mur prismatique": {
  "Name" : "Mur prismatique",
  "OV" : "Prismatic Wall",
  "Level" : 9,
  "BBE" : "",
  "School" : "Abjuration",
  "Incantation" : "1 action",
  "Type" : "",
  "Description" : "Crée un mur de plusieurs couches qui infligent des effets et dégâts différents suivant la couche.",
  "Classes" :["MAGICIAN", "OCCULT_KNIGHT", "ARCANE_SWINDLER"]
   }</v>
      </c>
    </row>
    <row r="455" spans="1:13">
      <c r="A455">
        <v>9</v>
      </c>
      <c r="B455" t="s">
        <v>2096</v>
      </c>
      <c r="D455" t="s">
        <v>2097</v>
      </c>
      <c r="E455" t="s">
        <v>1155</v>
      </c>
      <c r="F455" t="s">
        <v>1086</v>
      </c>
      <c r="I455" t="s">
        <v>2098</v>
      </c>
      <c r="J455" t="s">
        <v>1088</v>
      </c>
      <c r="K455" s="216" t="s">
        <v>3914</v>
      </c>
      <c r="M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"OCCULT_KNIGHT", "ARCANE_SWINDLER"]
   }</v>
      </c>
    </row>
    <row r="456" spans="1:13">
      <c r="A456">
        <v>9</v>
      </c>
      <c r="B456" t="s">
        <v>2166</v>
      </c>
      <c r="D456" t="s">
        <v>2167</v>
      </c>
      <c r="E456" t="s">
        <v>1098</v>
      </c>
      <c r="F456" t="s">
        <v>1086</v>
      </c>
      <c r="G456" t="s">
        <v>1073</v>
      </c>
      <c r="I456" t="s">
        <v>2168</v>
      </c>
      <c r="J456" t="s">
        <v>1088</v>
      </c>
      <c r="K456" s="216" t="s">
        <v>3946</v>
      </c>
      <c r="M456" t="str">
        <f t="shared" si="7"/>
        <v>"Portail": {
  "Name" : "Portail",
  "OV" : "Gate",
  "Level" : 9,
  "BBE" : "",
  "School" : "Invocation",
  "Incantation" : "1 action",
  "Type" : "Concentration",
  "Description" : "Crée un portail vers un autre plan. Permet aussi d'invoquer une créature d'un autre plan.",
  "Classes" :[ "CLERK", "SORCERER", "MAGICIAN", "OCCULT_KNIGHT", "ARCANE_SWINDLER"]
   }</v>
      </c>
    </row>
    <row r="457" spans="1:13">
      <c r="A457">
        <v>9</v>
      </c>
      <c r="B457" t="s">
        <v>2175</v>
      </c>
      <c r="D457" t="s">
        <v>2176</v>
      </c>
      <c r="E457" t="s">
        <v>1179</v>
      </c>
      <c r="F457" t="s">
        <v>1094</v>
      </c>
      <c r="I457" t="s">
        <v>2177</v>
      </c>
      <c r="J457" t="s">
        <v>1088</v>
      </c>
      <c r="K457" s="216" t="s">
        <v>3941</v>
      </c>
      <c r="M457" t="str">
        <f t="shared" si="7"/>
        <v>"Prémonition": {
  "Name" : "Prémonition",
  "OV" : "Foresight",
  "Level" : 9,
  "BBE" : "",
  "School" : "Divination",
  "Incantation" : "1 minute",
  "Type" : "",
  "Description" : "1 créature voit son futur proche, ne peut être surprise et a l'avantage à ses jets. Les attaque contre elle ont un désavantage.",
  "Classes" :["BARD", "DRUID", "MAGICIAN", "OCCULT_KNIGHT", "ARCANE_SWINDLER", "WIZARD"]
   }</v>
      </c>
    </row>
    <row r="458" spans="1:13">
      <c r="A458">
        <v>9</v>
      </c>
      <c r="B458" t="s">
        <v>2202</v>
      </c>
      <c r="D458" t="s">
        <v>2203</v>
      </c>
      <c r="E458" t="s">
        <v>1121</v>
      </c>
      <c r="F458" t="s">
        <v>1132</v>
      </c>
      <c r="I458" t="s">
        <v>2204</v>
      </c>
      <c r="J458" t="s">
        <v>1088</v>
      </c>
      <c r="K458" s="216" t="s">
        <v>3944</v>
      </c>
      <c r="M458" t="str">
        <f t="shared" si="7"/>
        <v>"Projection astrale": {
  "Name" : "Projection astrale",
  "OV" : "Astral Projection",
  "Level" : 9,
  "BBE" : "",
  "School" : "Nécromancie",
  "Incantation" : "1 heure",
  "Type" : "",
  "Description" : "Le lanceur et jusqu'à 8 créatures sont projetés dans le plan Astral.",
  "Classes" :[ "CLERK", "MAGICIAN", "OCCULT_KNIGHT", "ARCANE_SWINDLER", "WIZARD"]
   }</v>
      </c>
    </row>
    <row r="459" spans="1:13">
      <c r="A459">
        <v>9</v>
      </c>
      <c r="B459" t="s">
        <v>2310</v>
      </c>
      <c r="D459" t="s">
        <v>2311</v>
      </c>
      <c r="E459" t="s">
        <v>1121</v>
      </c>
      <c r="F459" t="s">
        <v>1132</v>
      </c>
      <c r="I459" t="s">
        <v>2312</v>
      </c>
      <c r="J459" t="s">
        <v>1088</v>
      </c>
      <c r="K459" s="216" t="s">
        <v>2930</v>
      </c>
      <c r="M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v>
      </c>
    </row>
    <row r="460" spans="1:13">
      <c r="A460">
        <v>9</v>
      </c>
      <c r="B460" t="s">
        <v>2393</v>
      </c>
      <c r="D460" t="s">
        <v>2394</v>
      </c>
      <c r="E460" t="s">
        <v>1098</v>
      </c>
      <c r="F460" t="s">
        <v>1086</v>
      </c>
      <c r="I460" t="s">
        <v>2395</v>
      </c>
      <c r="J460" t="s">
        <v>1088</v>
      </c>
      <c r="K460" s="216" t="s">
        <v>3914</v>
      </c>
      <c r="M460" t="str">
        <f t="shared" si="7"/>
        <v>"Souhait": {
  "Name" : "Souhait",
  "OV" : "Wish",
  "Level" : 9,
  "BBE" : "",
  "School" : "Invocation",
  "Incantation" : "1 action",
  "Type" : "",
  "Description" : "Duplique un sort de niveau 8 ou inférieur sans composantes, ou crée un autre effet à la discrétion du MD.",
  "Classes" :["SORCERER", "MAGICIAN", "OCCULT_KNIGHT", "ARCANE_SWINDLER"]
   }</v>
      </c>
    </row>
    <row r="461" spans="1:13">
      <c r="A461">
        <v>9</v>
      </c>
      <c r="B461" t="s">
        <v>2445</v>
      </c>
      <c r="D461" t="s">
        <v>2446</v>
      </c>
      <c r="E461" t="s">
        <v>1098</v>
      </c>
      <c r="F461" t="s">
        <v>1086</v>
      </c>
      <c r="G461" t="s">
        <v>1073</v>
      </c>
      <c r="I461" t="s">
        <v>2447</v>
      </c>
      <c r="J461" t="s">
        <v>1088</v>
      </c>
      <c r="K461" s="216" t="s">
        <v>2926</v>
      </c>
      <c r="M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63" spans="1:13">
      <c r="L463" t="str">
        <f>CONCATENATE(M2,",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f>
        <v>"Amis":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v>
      </c>
    </row>
    <row r="464" spans="1:13">
      <c r="L464" t="str">
        <f>CONCATENATE(",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f>
        <v>,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:["ARTIFICER", "BARD", "MAGICIAN", "OCCULT_KNIGHT", "ARCANE_SWINDLER"]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"OCCULT_KNIGHT", "ARCANE_SWINDLER"]
   },
"Injonction": {
  "Name" : "Injonction",
  "OV" : "Command",
  "Level" : 1,
  "BBE" : "",
  "School" : "Enchantement",
  "Incantation" : "1 action",
  "Type" : "",
  "Description" : "La cible doit réussir un JdS de Sag. ou suivre votre ordre comme Approche, Lâche, Fuis, Tombe, Halte, etc (+1 créature/niv).",
  "Classes" :["CLERK", "PALADIN", "FIENDISH"]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:["ARTIFICER", "BARD", "DRUID", "ARCHFAIRY"]
   },
"Mains brûlantes": {
  "Name" : "Mains brûlantes",
  "OV" : "Burning Hands",
  "Level" : 1,
  "BBE" : "",
  "School" : "Évocation",
  "Incantation" : "1 action",
  "Type" : "",
  "Description" : "Les créatures dans un cône de 4,50 m doivent réussir un JdS de Dex. ou subir 3d6 dégâts de feu (dégâts/niv).",
  "Classes" :["SORCERER", "MAGICIAN", "OCCULT_KNIGHT", "ARCANE_SWINDLER", "FIENDISH"]
   },
"Maléfice": {
  "Name" : "Maléfice",
  "OV" : "Hex",
  "Level" : 1,
  "BBE" : "",
  "School" : "Enchantement",
  "Incantation" : "1 action bonus",
  "Type" : "Concentration",
  "Description" : "Si une attaque touche, inflige 1d6 dégâts nécrotiques extra. Désavantage à un jet de carac choisi (durée/niv).",
  "Classes" :["WIZARD"]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
"Mot de guérison": {
  "Name" : "Mot de guérison",
  "OV" : "Healing Word",
  "Level" : 1,
  "BBE" : "",
  "School" : "Évocation",
  "Incantation" : "1 action bonus",
  "Type" : "",
  "Description" : "1 créature récupère 1d4+Mod.Carac pv (+1d4 pv/niv).",
  "Classes" :["BARD", "CLERK", "DRUID"]
   },
"Murmures dissonants": {
  "Name" : "Murmures dissonants",
  "OV" : "Dissonant Whispers",
  "Level" : 1,
  "BBE" : "",
  "School" : "Enchantement",
  "Incantation" : "1 action",
  "Type" : "",
  "Description" : "La cible doit réussir un JdS de Sag. ou subir 3d6 dégâts psychiques et s'éloigner (dégâts/niv).",
  "Classes" :["BARD", "GREAT_OLD"]
   },
"Nappe de brouillard": {
  "Name" : "Nappe de brouillard",
  "OV" : "Fog Cloud",
  "Level" : 1,
  "BBE" : "",
  "School" : "Invocation",
  "Incantation" : "1 action",
  "Type" : "Concentration",
  "Description" : "Rend la visibilité nulle dans une sphère de 6 m de rayon (+6 m/niv).",
  "Classes" :["DRUID", "SORCERER", "MAGICIAN", "OCCULT_KNIGHT", "ARCANE_SWINDLER", "PROWLER"]
   },
"Onde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"OCCULT_KNIGHT", "ARCANE_SWINDLER"]
   },
"Orbe chromatique": {
  "Name" : "Orbe chromatique",
  "OV" : "Chromatic Orb",
  "Level" : 1,
  "BBE" : "",
  "School" : "Évocation",
  "Incantation" : "1 action",
  "Type" : "",
  "Description" : "Si l'attaque avec un sort touche, inflige 3d8 dégâts d'un type préalablement déterminé (dégâts/niv).",
  "Classes" :["SORCERER", "MAGICIAN", "OCCULT_KNIGHT", "ARCANE_SWINDLER"]
   },
"Projectile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"OCCULT_KNIGHT", "ARCANE_SWINDLER"]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"OCCULT_KNIGHT", "ARCANE_SWINDLER", "PALADIN", "WIZARD"]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:["ARTIFICER", "CLERK", "DRUID", "PALADIN"]
   },
"Rayon empoisonné": {
  "Name" : "Rayon empoisonné",
  "OV" : "Ray of Sickness",
  "Level" : 1,
  "BBE" : "",
  "School" : "Nécromancie",
  "Incantation" : "1 action",
  "Type" : "",
  "Description" : "Si l'attaque touche, inflige 2d8 dégâts de poison (dégâts/niv) et la cible peut être empoisonnée (JdS de Con).",
  "Classes" :["SORCERER", "MAGICIAN", "OCCULT_KNIGHT", "ARCANE_SWINDLER"]
   },
"Repli expéditif": {
  "Name" : "Repli expéditif",
  "OV" : "Expeditious Retreat",
  "Level" : 1,
  "BBE" : "",
  "School" : "Transmutation",
  "Incantation" : "1 action bonus",
  "Type" : "Concentration",
  "Description" : "Le lanceur peut effectuer l'action Foncer en utilisant une action bonus.",
  "Classes" :["ARTIFICER", "SORCERER", "MAGICIAN", "OCCULT_KNIGHT", "ARCANE_SWINDLER", "WIZARD"]
   },
"Représailles infernales": {
  "Name" : "Représailles infernales",
  "OV" : "Hellish Rebuke",
  "Level" : 1,
  "BBE" : "",
  "School" : "Évocation",
  "Incantation" : "1 réaction",
  "Type" : "",
  "Description" : "La cible doit réussir un JdS de Dex. ou subir 2d10 dégâts de feu (dégâts/niv).",
  "Classes" :["WIZARD"]
   },
"Sanctuaire": {
  "Name" : "Sanctuaire",
  "OV" : "Sanctuary",
  "Level" : 1,
  "BBE" : "",
  "School" : "Abjuration",
  "Incantation" : "1 action bonus",
  "Type" : "",
  "Description" : "La cible a droit à un JdS de Sag. pour éviter les attaques ou les sorts ofensifs qui la visent en particulier.",
  "Classes" :["ARTIFICER", "CLERK"]
   },
"Saut": {
  "Name" : "Saut",
  "OV" : "Jump",
  "Level" : 1,
  "BBE" : "",
  "School" : "Transmutation",
  "Incantation" : "1 action",
  "Type" : "",
  "Description" : "La cible obtient une distance de saut multipliée par 3.",
  "Classes" :["ARTIFICER", "DRUID", "SORCERER", "MAGICIAN", "OCCULT_KNIGHT", "ARCANE_SWINDLER", "PROWLER"]
   },
"Secousse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"OCCULT_KNIGHT", "ARCANE_SWINDLER"]
   },
"Serviteur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"OCCULT_KNIGHT", "ARCANE_SWINDLER", "WIZARD"]
   },
"Simulacre de vie": {
  "Name" : "Simulacre de vie",
  "OV" : "False Life",
  "Level" : 1,
  "BBE" : "",
  "School" : "Nécromancie",
  "Incantation" : "1 action",
  "Type" : "",
  "Description" : "Le lanceur gagne 1d4+4 pv temporaires (+5 pv/niv).",
  "Classes" :["ARTIFICER", "SORCERER", "MAGICIAN", "OCCULT_KNIGHT", "ARCANE_SWINDLER"]
   },
"Soins": {
  "Name" : "Soins",
  "OV" : "Cure Wounds",
  "Level" : 1,
  "BBE" : "Soin des blessures",
  "School" : "Évocation",
  "Incantation" : "1 action",
  "Type" : "",
  "Description" : "1 créature récupère 1d8+Mod.Carac pv (+1d8 pv/niv).",
  "Classes" :["ARTIFICER", "BARD", "CLERK", "DRUID", "PALADIN", "PROWLER"]
   },
"Sommeil": {
  "Name" : "Sommeil",
  "OV" : "Sleep",
  "Level" : 1,
  "BBE" : "",
  "School" : "Enchantement",
  "Incantation" : "1 action",
  "Type" : "",
  "Description" : "5d8 pv de créatures s'endorment, par ordre croissant de leurs pv actuels (+2d8 pv/niv).",
  "Classes" :["BARD", "SORCERER", "MAGICIAN", "OCCULT_KNIGHT", "ARCANE_SWINDLER", "ARCHFAIRY"]
   },
"Tentacules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
"Texte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"OCCULT_KNIGHT", "ARCANE_SWINDLER", "WIZARD"]
   },
"Agrandissement-Rapetissement": {
  "Name" : "Agrandissement-Rapetissement",
  "OV" : "Enlarge/Reduce",
  "Level" : 2,
  "BBE" : "Agrandir/Rétrécir",
  "School" : "Transmutation",
  "Incantation" : "1 action",
  "Type" : "Concentration",
  "Description" : "Double ou réduit de moitié la taille d'une créature (JdS de Con) ou d'un objet.",
  "Classes" :["ARTIFICER", "SORCERER", "MAGICIAN", "OCCULT_KNIGHT", "ARCANE_SWINDLER"]
   },
"Aide": {
  "Name" : "Aide",
  "OV" : "Aid",
  "Level" : 2,
  "BBE" : "",
  "School" : "Abjuration",
  "Incantation" : "1 action",
  "Type" : "",
  "Description" : "Jusqu'à 3 créatures augmentent leurs pv actuels et pv max de 5 (+5 pv/niv).",
  "Classes" :["ARTIFICER", "CLERK", "PALADIN"]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:["ARTIFICER", "BARD", "CLERK", "DRUID", "SORCERER"]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"ARCHFAIRY"]
   },
"Appel de monture": {
  "Name" : "Appel de monture",
  "OV" : "Find Steed",
  "Level" : 2,
  "BBE" : "Trouver une monture",
  "School" : "Invocation",
  "Incantation" : "10 minutes",
  "Type" : "",
  "Description" : "Invoque un esprit sous la forme d'un destrier (cheval, élan, etc) lié par télépathie au lanceur.",
  "Classes" :["PALADIN"]
   },
"Arme magique": {
  "Name" : "Arme magique",
  "OV" : "Magic Weapon",
  "Level" : 2,
  "BBE" : "",
  "School" : "Transmutation",
  "Incantation" : "1 action bonus",
  "Type" : "Concentration",
  "Description" : "Transforme une arme en arme magique +1 à l'attaque et aux dégâts (bonus de +2 ou +3/niv).",
  "Classes" :["ARTIFICER", "MAGICIAN", "OCCULT_KNIGHT", "ARCANE_SWINDLER", "PALADIN"]
   },
"Arme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
"Attraction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
"Augure": {
  "Name" : "Augure",
  "OV" : "Augury",
  "Level" : 2,
  "BBE" : "",
  "School" : "Divination",
  "Incantation" : "1 minute",
  "Type" : "Rituel",
  "Description" : "Le lanceur obtient un présage concernant le résultat d'une action dans les 30 prochaines min (fortune, péril, les deux ou rien).",
  "Classes" :["CLERK"]
   },
"Aura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"OCCULT_KNIGHT", "ARCANE_SWINDLER"]
   },
"Bouche magique": {
  "Name" : "Bouche magique",
  "OV" : "Magic Mouth",
  "Level" : 2,
  "BBE" : "",
  "School" : "Illusion",
  "Incantation" : "1 minute",
  "Type" : "Rituel",
  "Description" : "Crée une bouche magique qui répétera un message de 25 mots max lorsqu'une condition de déclenchement est remplie.",
  "Classes" :["ARTIFICER", "BARD", "MAGICIAN", "OCCULT_KNIGHT", "ARCANE_SWINDLER"]
   },
"Bourrasque": {
  "Name" : "Bourrasque",
  "OV" : "Gust of Wind",
  "Level" : 2,
  "BBE" : "",
  "School" : "Évocation",
  "Incantation" : "1 action",
  "Type" : "Concentration",
  "Description" : "Les créatures sur une ligne de 18 x 3 m doivent réussir un JdS de For. ou être repoussées de 4,50 m.",
  "Classes" :["DRUID", "SORCERER", "MAGICIAN", "OCCULT_KNIGHT", "ARCANE_SWINDLER"]
   },
"Cécité-Surdité": {
  "Name" : "Cécité-Surdité",
  "OV" : "Blindness/Deafness",
  "Level" : 2,
  "BBE" : "",
  "School" : "Nécromancie",
  "Incantation" : "1 action",
  "Type" : "",
  "Description" : "La cible doit réussir un JdS de Con. ou devenir aveuglée ou assourdie (+1 créature/niv).",
  "Classes" :["BARD", "CLERK", "SORCERER", "MAGICIAN", "OCCULT_KNIGHT", "ARCANE_SWINDLER", "FIENDISH"]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
"Corde enchantée": {
  "Name" : "Corde enchantée",
  "OV" : "Rope Trick",
  "Level" : 2,
  "BBE" : "",
  "School" : "Transmutation",
  "Incantation" : "1 action",
  "Type" : "",
  "Description" : "Fait se dresser verticalement une corde qui donne dans un espace extradimensionnel qui peut contenir 8 créatures de taille M.",
  "Classes" :["ARTIFICER", "MAGICIAN", "OCCULT_KNIGHT", "ARCANE_SWINDLER"]
   },
"Cordon de flèches": {
  "Name" : "Cordon de flèches",
  "OV" : "Cordon of Arrows",
  "Level" : 2,
  "BBE" : "",
  "School" : "Transmutation",
  "Incantation" : "1 action",
  "Type" : "",
  "Description" : "4 munitions infligent 1d6 dégâts perforants si la cible rate un JdS de Dex. (nbre de munitions/niv).",
  "Classes" :["PROWLER"]
   },
"Couronne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"OCCULT_KNIGHT", "ARCANE_SWINDLER", "WIZARD"]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
"Déblocage": {
  "Name" : "Déblocage",
  "OV" : "Knock",
  "Level" : 2,
  "BBE" : "",
  "School" : "Transmutation",
  "Incantation" : "1 action",
  "Type" : "",
  "Description" : "Déverrouille ou débloque 1 objet (porte, coffre, cadenas, menottes, etc) ou supprime le sort verrou magique pour 10 minutes.",
  "Classes" :["BARD", "SORCERER", "MAGICIAN", "OCCULT_KNIGHT", "ARCANE_SWINDLER"]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"OCCULT_KNIGHT", "ARCANE_SWINDLER", "GREAT_OLD"]
   },
"Écrire dans le ciel": {
  "Name" : "Écrire dans le ciel",
  "OV" : "Skywrite",
  "Level" : 2,
  "BBE" : "",
  "School" : "Transmutation",
  "Incantation" : "1 action",
  "Type" : "Concentration Rituel",
  "Description" : "Crée jusqu'à 10 mots dans les nuages.",
  "Classes" :["ARTIFICER", "BARD", "DRUID", "MAGICIAN", "OCCULT_KNIGHT", "ARCANE_SWINDLER"]
   },
"Envoûtement": {
  "Name" : "Envoûtement",
  "OV" : "Enthrall",
  "Level" : 2,
  "BBE" : "",
  "School" : "Enchantement",
  "Incantation" : "1 action",
  "Type" : "",
  "Description" : "Les cibles doivent réussir un JdS de Sag. ou avoir un désavantage aux jets de Sagesse (Perception) contre d'autres créatures.",
  "Classes" :["BARD", "WIZARD"]
   },
"Épine mentale": {
  "Name" : "Épine mentale",
  "OV" : "Mind Spike",
  "Level" : 2,
  "BBE" : "",
  "School" : "Divination",
  "Incantation" : "1 action",
  "Type" : "Concentration",
  "Description" : "La cible doit réussir un JdS de Sag. ou subir 3d8 dégâts psychiques (dégâts/niv).",
  "Classes" :["SORCERER", "MAGICIAN", "OCCULT_KNIGHT", "ARCANE_SWINDLER", "WIZARD"]
   },
"Esprit guérisseur": {
  "Name" : "Esprit guérisseur",
  "OV" : "Healing Spirit",
  "Level" : 2,
  "BBE" : "",
  "School" : "Invocation",
  "Incantation" : "1 action bonus",
  "Type" : "Concentration",
  "Description" : "Les créatures au contact de l'esprit créé récupèrent 1d6 pv (+1d6 pv/niv).",
  "Classes" :["DRUID", "PROWLER"]
   },
"Flambée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"OCCULT_KNIGHT", "ARCANE_SWINDLER"]
   },
"Flamme éternelle": {
  "Name" : "Flamme éternelle",
  "OV" : "Continual Flame",
  "Level" : 2,
  "BBE" : "",
  "School" : "Évocation",
  "Incantation" : "1 action",
  "Type" : "",
  "Description" : "Crée une flamme qui produit une lumière équivalente à celle d'une torche, mais qui ne dégage aucune chaleur.",
  "Classes" :["ARTIFICER",  "CLERK", "MAGICIAN", "OCCULT_KNIGHT", "ARCANE_SWINDLER"]
   },
"Flèche acide de Melf": {
  "Name" : "Flèche acide de Melf",
  "OV" : "Melf's Acid Arrow",
  "Level" : 2,
  "BBE" : "",
  "School" : "Évocation",
  "Incantation" : "1 action",
  "Type" : "",
  "Description" : "Si l'attaque avec un sort touche, inflige 4d4 dégâts d'acide, puis 2d4 dégâts d'acide au round suivant (dégâts/niv).",
  "Classes" :["MAGICIAN", "OCCULT_KNIGHT", "ARCANE_SWINDLER"]
   },
"Flou": {
  "Name" : "Flou",
  "OV" : "Blur",
  "Level" : 2,
  "BBE" : "",
  "School" : "Illusion",
  "Incantation" : "1 action",
  "Type" : "Concentration",
  "Description" : "Le corps du lanceur devient flou et les créatures qui l'attaquent ont un désavantage au jet d'attaque contre lui.",
  "Classes" :["ARTIFICER", "SORCERER", "MAGICIAN", "OCCULT_KNIGHT", "ARCANE_SWINDLER"]
   },
"Force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"OCCULT_KNIGHT", "ARCANE_SWINDLER", "ARCHFAIRY", "GREAT_OLD"]
   },
"Fracassement":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"OCCULT_KNIGHT", "ARCANE_SWINDLER", "WIZARD"]
   },
"Image miroir": {
  "Name" : "Image miroir",
  "OV" : "Mirror Image",
  "Level" : 2,
  "BBE" : "",
  "School" : "Illusion",
  "Incantation" : "1 action",
  "Type" : "",
  "Description" : "Crée 3 duplicatas illusoires du lanceur qui possèdent chacun une CA de 10+Mod.Dex et sont détruits s'ils sont touchés.",
  "Classes" :["SORCERER", "MAGICIAN", "OCCULT_KNIGHT", "ARCANE_SWINDLER", "WIZARD"]
   },
"Immobilisation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"OCCULT_KNIGHT", "ARCANE_SWINDLER", "WIZARD"]
   },
"Invisibilité": {
  "Name" : "Invisibilité",
  "OV" : "Invisibility",
  "Level" : 2,
  "BBE" : "",
  "School" : "Illusion",
  "Incantation" : "1 action",
  "Type" : "Concentration",
  "Description" : "La cible devient invisible 1 heure ou jusqu'à ce qu'elle attaque ou lance un sort (+1 créature/niv).",
  "Classes" :["ARTIFICER", "BARD", "SORCERER", "MAGICIAN", "OCCULT_KNIGHT", "ARCANE_SWINDLER", "WIZARD"]
   },
"Lame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
"Lame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"OCCULT_KNIGHT", "ARCANE_SWINDLER", "WIZARD"]
   },
"Lévitation": {
  "Name" : "Lévitation",
  "OV" : "Levitate",
  "Level" : 2,
  "BBE" : "",
  "School" : "Transmutation",
  "Incantation" : "1 action",
  "Type" : "Concentration",
  "Description" : "1 créature ou objet de moins de 250 kg s'élève verticalement jusqu'à 6 m et reste en lévitation.",
  "Classes" :["ARTIFICER", "SORCERER", "MAGICIAN", "OCCULT_KNIGHT", "ARCANE_SWINDLER"]
   },
"Lien de protection": {
  "Name" : "Lien de protection",
  "OV" : "Warding Bond",
  "Level" : 2,
  "BBE" : "",
  "School" : "Abjuration",
  "Incantation" : "1 action",
  "Type" : "",
  "Description" : "La cible gagne +1 à la CA, +1 aux JdS et la résistance à tous les dégâts, mais le lanceur partage ses dégâts.",
  "Classes" :[ "CLERK"]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
"Localisation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"OCCULT_KNIGHT", "ARCANE_SWINDLER", "PALADIN", "PROWLER"]
   },
"Messager animal": {
  "Name" : "Messager animal",
  "OV" : "Animal Messenger",
  "Level" : 2,
  "BBE" : "",
  "School" : "Enchantement",
  "Incantation" : "1 action",
  "Type" : "Rituel",
  "Description" : "Une bête de taille TP va livrer un message de 25 mots à une cible (+48 h/niv).",
  "Classes" :["BARD", "DRUID", "PROWLER"]
   },
"Métal brûlant": {
  "Name" : "Métal brûlant",
  "OV" : "Heat Metal",
  "Level" : 2,
  "BBE" : "Chauffer le métal",
  "School" : "Transmutation",
  "Incantation" : "1 action",
  "Type" : "Concentration",
  "Description" : "Les créatures en contact avec l'objet en métal subissent 2d8 dégâts de feu (dégâts/niv).",
  "Classes" :["ARTIFICER", "BARD", "DRUID"]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"OCCULT_KNIGHT", "ARTIFICER", "ARCANE_SWINDLER"]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"OCCULT_KNIGHT", "ARCANE_SWINDLER"]
   },
"Nuée de dagues": {
  "Name" : "Nuée de dagues",
  "OV" : "Cloud of Daggers",
  "Level" : 2,
  "BBE" : "",
  "School" : "Invocation",
  "Incantation" : "1 action",
  "Type" : "Concentration",
  "Description" : "Les créatures dans un cube de 1,50 m subissent automatiquement 4d4 dégâts tranchants (dégâts/niv).",
  "Classes" :["BARD", "SORCERER", "MAGICIAN", "OCCULT_KNIGHT", "ARCANE_SWINDLER", "WIZARD"]
   },
"Pas brumeux": {
  "Name" : "Pas brumeux",
  "OV" : "Misty Step",
  "Level" : 2,
  "BBE" : "",
  "School" : "Invocation",
  "Incantation" : "1 action bonus",
  "Type" : "",
  "Description" : "Le lanceur est téléporté jusqu'à 9 mètres.",
  "Classes" :["SORCERER", "MAGICIAN", "OCCULT_KNIGHT", "ARCANE_SWINDLER", "WIZARD"]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
"Pattes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:["ARTIFICER", "SORCERER", "MAGICIAN", "OCCULT_KNIGHT", "ARCANE_SWINDLER", "WIZARD"]
   },
"Peau d'écorce": {
  "Name" : "Peau d'écorce",
  "OV" : "Barkskin",
  "Level" : 2,
  "BBE" : "",
  "School" : "Transmutation",
  "Incantation" : "1 action",
  "Type" : "Concentration",
  "Description" : "La cible obtient une CA de 16 minimum.",
  "Classes" :["DRUID", "PROWLER"]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"OCCULT_KNIGHT", "ARCANE_SWINDLER"]
   }</v>
      </c>
    </row>
    <row r="465" spans="12:12">
      <c r="L465" t="str">
        <f>CONCATENATE(",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f>
        <v>,
"Préservation des morts": {
  "Name" : "Préservation des morts",
  "OV" : "Gentle Repose",
  "Level" : 2,
  "BBE" : "Doux repos",
  "School" : "Nécromancie",
  "Incantation" : "1 action",
  "Type" : "Rituel",
  "Description" : "Protège un cadavre du pourrissement ou de devenir un mort-vivant.",
  "Classes" :[ "CLERK", "MAGICIAN", "OCCULT_KNIGHT", "ARCANE_SWINDLER"]
   },
"Prière de guérison": {
  "Name" : "Prière de guérison",
  "OV" : "Prayer of Healing",
  "Level" : 2,
  "BBE" : "Prière de soins",
  "School" : "Évocation",
  "Incantation" : "10 minutes",
  "Type" : "",
  "Description" : "Jusqu'à 6 créatures récupèrent 2d8+Mod.Carac pv (+1d8 pv/niv).",
  "Classes" :[ "CLERK"]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:["ARTIFICER",  "CLERK", "DRUID", "PALADIN", "PROWLER"]
   },
"Pyrotechnie": {
  "Name" : "Pyrotechnie",
  "OV" : "Pyrotechnics",
  "Level" : 2,
  "BBE" : "",
  "School" : "Transmutation",
  "Incantation" : "1 action",
  "Type" : "",
  "Description" : "Cible des flammes à 18 m et les fait exploser (JdS de Con. ou aveuglée) ou échapper une épaisse fumée (visibilité nulle).",
  "Classes" :["ARTIFICER", "BARD", "SORCERER", "MAGICIAN", "OCCULT_KNIGHT", "ARCANE_SWINDLER"]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"OCCULT_KNIGHT", "ARCANE_SWINDLER", "WIZARD"]
   },
"Rayon ardent": {
  "Name" : "Rayon ardent",
  "OV" : "Scorching Ray",
  "Level" : 2,
  "BBE" : "",
  "School" : "Évocation",
  "Incantation" : "1 action",
  "Type" : "",
  "Description" : "Si les attaques touchent, 3 rayons infligent chacun 2d6 dégâts de feu (+1 rayon/niv).",
  "Classes" :["SORCERER", "MAGICIAN", "OCCULT_KNIGHT", "ARCANE_SWINDLER", "FIENDISH"]
   },
"Rayon de lune": {
  "Name" : "Rayon de lune",
  "OV" : "Moonbeam",
  "Level" : 2,
  "BBE" : "",
  "School" : "Évocation",
  "Incantation" : "1 action",
  "Type" : "Concentration",
  "Description" : "Les créatures dans un cylindre de 3 x 12 m doivent réussir un JdS de Con. ou subir 2d10 dégâts radiants (dégâts/niv).",
  "Classes" :["DRUID"]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:["ARTIFICER", "BARD",  "CLERK", "DRUID", "PALADIN", "PROWLER"]
   },
"Sens animal": {
  "Name" : "Sens animal",
  "OV" : "Beast Sense",
  "Level" : 2,
  "BBE" : "",
  "School" : "Divination",
  "Incantation" : "1 action",
  "Type" : "Concentration Rituel",
  "Description" : "Le lanceur peut voir/entendre/sentir à travers les sens d'une bête consentante.",
  "Classes" :["DRUID", "PROWLER"]
   },
"Sens des pièges": {
  "Name" : "Sens des pièges",
  "OV" : "Find Traps",
  "Level" : 2,
  "BBE" : "Trouver les pièges",
  "School" : "Divination",
  "Incantation" : "1 action",
  "Type" : "",
  "Description" : "Le lanceur sent tous pièges dans un rayon de 36 m, mais le sort donne pas leur localisation.",
  "Classes" :[ "CLERK", "DRUID", "PROWLER"]
   },
"Silence": {
  "Name" : "Silence",
  "OV" : "Silence",
  "Level" : 2,
  "BBE" : "",
  "School" : "Illusion",
  "Incantation" : "1 action",
  "Type" : "Concentration Rituel",
  "Description" : "Bloque tous les sons dans une sphère de 6m de rayon.",
  "Classes" :["BARD",  "CLERK", "PROWLER"]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"OCCULT_KNIGHT", "ARCANE_SWINDLER"]
   },
"Sphère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"OCCULT_KNIGHT", "ARCANE_SWINDLER"]
   },
"Suggestion": {
  "Name" : "Suggestion",
  "OV" : "Suggestion",
  "Level" : 2,
  "BBE" : "",
  "School" : "Enchantement",
  "Incantation" : "1 action",
  "Type" : "Concentration",
  "Description" : "La cible doit réussir un JdS de Sag. ou suivre la suggestion que lui donne le lanceur en une ou deux phrases.",
  "Classes" :["BARD", "SORCERER", "MAGICIAN", "OCCULT_KNIGHT", "ARCANE_SWINDLER", "WIZARD"]
   },
"Ténèbres": {
  "Name" : "Ténèbres",
  "OV" : "Darkness",
  "Level" : 2,
  "BBE" : "",
  "School" : "Évocation",
  "Incantation" : "1 action",
  "Type" : "Concentration",
  "Description" : "Remplit une sphère de 4,50 m de rayon de ténèbres magiques.",
  "Classes" :["SORCERER", "MAGICIAN", "OCCULT_KNIGHT", "ARCANE_SWINDLER", "WIZARD"]
   },
"Toile d'araignée": {
  "Name" : "Toile d'araignée",
  "OV" : "Web",
  "Level" : 2,
  "BBE" : "",
  "School" : "Invocation",
  "Incantation" : "1 action",
  "Type" : "Concentration",
  "Description" : "Crée un cube de 6 m de toiles d'araignées collantes (terrain difficile) qui peuvent entraver des créatures (JdS de Dex).",
  "Classes" :["ARTIFICER", "SORCERER", "MAGICIAN", "OCCULT_KNIGHT", "ARCANE_SWINDLER"]
   },
"Tourbillon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"OCCULT_KNIGHT", "ARCANE_SWINDLER"]
   },
"Vent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"OCCULT_KNIGHT", "ARCANE_SWINDLER"]
   },
"Verrou magique": {
  "Name" : "Verrou magique",
  "OV" : "Arcane Lock",
  "Level" : 2,
  "BBE" : "",
  "School" : "Abjuration",
  "Incantation" : "1 action",
  "Type" : "",
  "Description" : "Verrouille un objet (porte, fenêtre, coffre, etc) et le lanceur peut définir un mot de passe pour supprimer le sort 1 minute.",
  "Classes" :["ARTIFICER", "MAGICIAN", "OCCULT_KNIGHT", "ARCANE_SWINDLER"]
   },
"Vision dans le noir": {
  "Name" : "Vision dans le noir",
  "OV" : "Darkvision",
  "Level" : 2,
  "BBE" : "",
  "School" : "Transmutation",
  "Incantation" : "1 action",
  "Type" : "",
  "Description" : "La cible peut voir dans le noir à 18 mètres.",
  "Classes" :["ARTIFICER", "DRUID", "SORCERER", "MAGICIAN", "OCCULT_KNIGHT", "ARCANE_SWINDLER", "PROWLER"]
   },
"Voir l'invisible": {
  "Name" : "Voir l'invisible",
  "OV" : "See Invisibility",
  "Level" : 2,
  "BBE" : "",
  "School" : "Divination",
  "Incantation" : "1 action",
  "Type" : "",
  "Description" : "Le lanceur voit les créatures ou objets invisibles, et dans le plan éthéré.",
  "Classes" :["BARD", "SORCERER", "MAGICIAN", "ARTIFICER", "OCCULT_KNIGHT", "ARCANE_SWINDLER"]
   },
"Zone de vérité": {
  "Name" : "Zone de vérité",
  "OV" : "Zone of Truth",
  "Level" : 2,
  "BBE" : "",
  "School" : "Enchantement",
  "Incantation" : "1 action",
  "Type" : "",
  "Description" : "Les créatures dans une sphère de 4,50 m de rayon doivent réussir un JdS de Cha. ou ne pas pouvoir mentir.",
  "Classes" :["BARD",  "CLERK", "PALADIN"]
   },
"Animation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"OCCULT_KNIGHT", "ARCANE_SWINDLER"]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
"Arme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:["ARTIFICER", "PALADIN"]
   },
"Aura de vitalité": {
  "Name" : "Aura de vitalité",
  "OV" : "Aura of Vitality",
  "Level" : 3,
  "BBE" : "",
  "School" : "Évocation",
  "Incantation" : "1 action",
  "Type" : "Concentration",
  "Description" : "La cible dans un rayon de 9 m récupère 2d6 pv.",
  "Classes" :["PALADIN"]
   },
"Aura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
"Boule de feu": {
  "Name" : "Boule de feu",
  "OV" : "Fireball",
  "Level" : 3,
  "BBE" : "",
  "School" : "Évocation",
  "Incantation" : "1 action",
  "Type" : "",
  "Description" : "Les créatures dans un rayon de 6 m doivent réussir un JdS de Dex. ou subir 8d6 dégâts de feu (dégâts/niv).",
  "Classes" :["SORCERER", "MAGICIAN", "OCCULT_KNIGHT", "ARCANE_SWINDLER", "FIENDISH"]
   },
"Cercle magique": {
  "Name" : "Cercle magique",
  "OV" : "Magic Circle",
  "Level" : 3,
  "BBE" : "",
  "School" : "Abjuration",
  "Incantation" : "1 minute",
  "Type" : "",
  "Description" : "Crée un cylindre de 6 x 6 m qui protège des célestes, élémentaires, fées, fiélons et/ou morts-vivants (+1 h/niv).",
  "Classes" :[ "CLERK", "MAGICIAN", "OCCULT_KNIGHT", "ARCANE_SWINDLER", "PALADIN", "WIZARD"]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
"Clairvoyance":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"OCCULT_KNIGHT", "ARCANE_SWINDLER", "GREAT_OLD"]
   },
"Clignotement": {
  "Name" : "Clignotement",
  "OV" : "Blink",
  "Level" : 3,
  "BBE" : "",
  "School" : "Transmutation",
  "Incantation" : "1 action",
  "Type" : "",
  "Description" : "Le lanceur a 50% de chance de passer dans le plan éthéré, puis il revient dans l'espace qu'il occupait au tour suivant.",
  "Classes" :["ARTIFICER", "SORCERER", "MAGICIAN", "OCCULT_KNIGHT", "ARCANE_SWINDLER", "ARCHFAIRY"]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"OCCULT_KNIGHT", "ARCANE_SWINDLER", "GREAT_OLD"]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
"Contresort": {
  "Name" : "Contresort",
  "OV" : "Counterspell",
  "Level" : 3,
  "BBE" : "",
  "School" : "Abjuration",
  "Incantation" : "1 réaction",
  "Type" : "",
  "Description" : "En réaction, fait échouer un sort de niveau 3 ou inférieur. Jet de Carac.Inc pour un sort de niveau 4 ou supérieur (seuil/niv).",
  "Classes" :["SORCERER", "MAGICIAN", "OCCULT_KNIGHT", "ARCANE_SWINDLER", "WIZARD"]
   },
"Création de nourriture et d'eau": {
  "Name" : "Création de nourriture et d'eau",
  "OV" : "Create Food and Water",
  "Level" : 3,
  "BBE" : "",
  "School" : "Invocation",
  "Incantation" : "1 action",
  "Type" : "",
  "Description" : "Crée 22,5 kilos de nourriture et 120 litres d'eau, suffisant pour 15 personnes durant 24 heures.",
  "Classes" :["ARTIFICER",  "CLERK", "PALADIN"]
   },
"Croissance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"ARCHFAIRY"]
   },
"Délivrance des malédictions": {
  "Name" : "Délivrance des malédictions",
  "OV" : "Remove Curse",
  "Level" : 3,
  "BBE" : "Lever une malédiction",
  "School" : "Abjuration",
  "Incantation" : "1 action",
  "Type" : "",
  "Description" : "Met fin à toutes les malédictions affligeant une créature ou un objet.",
  "Classes" :[ "CLERK", "MAGICIAN", "OCCULT_KNIGHT", "ARCANE_SWINDLER", "PALADIN", "WIZARD"]
   },
"Dissipation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:["ARTIFICER", "BARD",  "CLERK", "DRUID", "SORCERER", "MAGICIAN", "OCCULT_KNIGHT", "ARCANE_SWINDLER", "PALADIN", "WIZARD"]
   },
"Éclair": {
  "Name" : "Éclair",
  "OV" : "Lightning Bolt",
  "Level" : 3,
  "BBE" : "",
  "School" : "Évocation",
  "Incantation" : "1 action",
  "Type" : "",
  "Description" : "Les créatures sur une ligne de 30 x 1,50 m doivent réussir un JdS de Dex. ou subir 8d6 dégâts de foudre (dégâts/niv).",
  "Classes" :["SORCERER", "MAGICIAN", "OCCULT_KNIGHT", "ARCANE_SWINDLER"]
   },
"Ennemis à foison": {
  "Name" : "Ennemis à foison",
  "OV" : "Enemies Abound",
  "Level" : 3,
  "BBE" : "",
  "School" : "Enchantement",
  "Incantation" : "1 action",
  "Type" : "Concentration",
  "Description" : "La cible doit réussir un JdS d'Int. ou ne plus pouvoir distinguer amis et ennemis ",
  "Classes" :["BARD", "SORCERER", "MAGICIAN", "OCCULT_KNIGHT", "ARCANE_SWINDLER", "WIZARD"]
   },
"Éruption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"OCCULT_KNIGHT", "ARCANE_SWINDLER"]
   },
"Esprits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
"Flèches enflammées": {
  "Name" : "Flèches enflammées",
  "OV" : "Flame Arrows",
  "Level" : 3,
  "BBE" : "",
  "School" : "Transmutation",
  "Incantation" : "1 action",
  "Type" : "Concentration",
  "Description" : "12 flèches/carreaux infligent 1d6 dégâts de feu extra (+2 munitions/niv).",
  "Classes" :["ARTIFICER", "DRUID", "SORCERER", "MAGICIAN", "OCCULT_KNIGHT", "ARCANE_SWINDLER", "PROWLER"]
   },
"Forme gazeuse": {
  "Name" : "Forme gazeuse",
  "OV" : "Gaseous Form",
  "Level" : 3,
  "BBE" : "",
  "School" : "Transmutation",
  "Incantation" : "1 action",
  "Type" : "Concentration",
  "Description" : "La cible se transforme en nuage, obtient une vitesse de vol de 3 m et peut passer par de petits trous.",
  "Classes" :["SORCERER", "MAGICIAN", "OCCULT_KNIGHT", "ARCANE_SWINDLER", "WIZARD"]
   },
"Fusion dans la pierre": {
  "Name" : "Fusion dans la pierre",
  "OV" : "Meld into Stone",
  "Level" : 3,
  "BBE" : "",
  "School" : "Transmutation",
  "Incantation" : "1 action",
  "Type" : "Rituel",
  "Description" : "Le lanceur peut pénétrer dans la pierre.",
  "Classes" :[ "CLERK", "DRUID"]
   },
"Glyphe de protection": {
  "Name" : "Glyphe de protection",
  "OV" : "Glyph of Warding",
  "Level" : 3,
  "BBE" : "",
  "School" : "Abjuration",
  "Incantation" : "1 heure",
  "Type" : "",
  "Description" : "Un glyphe sur un objet inflige 5d8 dégâts dans un rayon de 4,50 m (dégâts/niv) ou lance un sort niv 3 (niv/niv) si déclenché.",
  "Classes" :["ARTIFICER", "BARD",  "CLERK", "MAGICIAN", "OCCULT_KNIGHT", "ARCANE_SWINDLER"]
   },
"Hâte": {
  "Name" : "Hâte",
  "OV" : "Haste",
  "Level" : 3,
  "BBE" : "",
  "School" : "Transmutation",
  "Incantation" : "1 action",
  "Type" : "Concentration",
  "Description" : "La cible voit sa vitesse doublée. Elle gagne aussi un bonus de +2 à la CA, l'avantage aux JdS de Dex. et 1 action extra.",
  "Classes" :["ARTIFICER", "SORCERER", "MAGICIAN", "OCCULT_KNIGHT", "ARCANE_SWINDLER"]
   },
"Image majeure": {
  "Name" : "Image majeure",
  "OV" : "Major Image",
  "Level" : 3,
  "BBE" : "",
  "School" : "Illusion",
  "Incantation" : "1 action",
  "Type" : "Concentration",
  "Description" : "Crée l'image d'un objet ou d'une créature animée, avec sons et odeurs (sans concentration/niv).",
  "Classes" :["BARD", "SORCERER", "MAGICIAN", "OCCULT_KNIGHT", "ARCANE_SWINDLER", "WIZARD"]
   },
"Invocation d'animaux": {
  "Name" : "Invocation d'animaux",
  "OV" : "Conjure Animals",
  "Level" : 3,
  "BBE" : "Invoquer des animaux",
  "School" : "Invocation",
  "Incantation" : "1 action",
  "Type" : "Concentration",
  "Description" : "Invoque de 1 bête FP 2 à 8 bêtes FP 1/4 amicales (nbre de créatures/niv).",
  "Classes" :["DRUID", "PROWLER"]
   },
"Invocation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"OCCULT_KNIGHT", "ARCANE_SWINDLER", "WIZARD"]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
"Langues": {
  "Name" : "Langues",
  "OV" : "Tongues",
  "Level" : 3,
  "BBE" : "",
  "School" : "Divination",
  "Incantation" : "1 action",
  "Type" : "",
  "Description" : "La cible comprend et parle toutes les langues parlées qu'elle entend.",
  "Classes" :["BARD",  "CLERK", "SORCERER", "MAGICIAN", "OCCULT_KNIGHT", "ARCANE_SWINDLER", "WIZARD"]
   },
"Lenteur": {
  "Name" : "Lenteur",
  "OV" : "Slow",
  "Level" : 3,
  "BBE" : "",
  "School" : "Transmutation",
  "Incantation" : "1 action",
  "Type" : "Concentration",
  "Description" : "Jusqu'à 6 cibles doivent réussir un JdS de Sag. ou avoir leur vitesse et leurs actions réduites, -2 en CA et aux JdS de Dex.",
  "Classes" :["SORCERER", "MAGICIAN", "OCCULT_KNIGHT", "ARCANE_SWINDLER"]
   },
"Lueur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
"Lumière du jour": {
  "Name" : "Lumière du jour",
  "OV" : "Daylight",
  "Level" : 3,
  "BBE" : "",
  "School" : "Évocation",
  "Incantation" : "1 action",
  "Type" : "",
  "Description" : "Crée une sphère qui emet une lumière vive sur 18 m et une lumière faible sur 18 m supplémentaires.",
  "Classes" :[ "CLERK", "DRUID", "SORCERER", "PALADIN", "PROWLER"]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"OCCULT_KNIGHT", "ARCANE_SWINDLER"]
   },
"Marche sur l'eau": {
  "Name" : "Marche sur l'eau",
  "OV" : "Water Walk",
  "Level" : 3,
  "BBE" : "",
  "School" : "Transmutation",
  "Incantation" : "1 action",
  "Type" : "Rituel",
  "Description" : "Jusqu'à 10 créatures peuvent se déplacer sur une surface liquide (eau, acide, boue, lave, etc) comme si c'était un sol normal.",
  "Classes" :["ARTIFICER",  "CLERK", "DRUID", "SORCERER", "PROWLER"]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"OCCULT_KNIGHT", "ARCANE_SWINDLER"]
   },
"Monture fantôme": {
  "Name" : "Monture fantôme",
  "OV" : "Phantom Steed",
  "Level" : 3,
  "BBE" : "",
  "School" : "Illusion",
  "Incantation" : "1 minute",
  "Type" : "Rituel",
  "Description" : "Crée une créature semi-réelle de taille G ressemblant à un cheval et tout le nécessaire pour la monter.",
  "Classes" :["MAGICIAN", "OCCULT_KNIGHT", "ARCANE_SWINDLER"]
   },
"Mort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"OCCULT_KNIGHT", "ARCANE_SWINDLER"]
   },
"Mot de guérison de groupe": {
  "Name" : "Mot de guérison de groupe",
  "OV" : "Mass Healing Word",
  "Level" : 3,
  "BBE" : "",
  "School" : "Évocation",
  "Incantation" : "1 action bonus",
  "Type" : "",
  "Description" : "Jusqu'à 6 créatures récupèrent 1d4+Mod.Carac pv (+1d4 pv/niv).",
  "Classes" :[ "CLERK"]
   },
"Motif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"OCCULT_KNIGHT", "ARCANE_SWINDLER", "WIZARD"]
   },
"Mur de sable": {
  "Name" : "Mur de sable",
  "OV" : "Wall of Sand",
  "Level" : 3,
  "BBE" : "",
  "School" : "Évocation",
  "Incantation" : "1 action",
  "Type" : "Concentration",
  "Description" : "Crée un mur de sable de 9 x 3 x 3 m qui bloque la vue (aveuglé) mais pas les mouvements.",
  "Classes" :["MAGICIAN", "OCCULT_KNIGHT", "ARCANE_SWINDLER"]
   },
"Mur de vent": {
  "Name" : "Mur de vent",
  "OV" : "Wind Wall",
  "Level" : 3,
  "BBE" : "",
  "School" : "Évocation",
  "Incantation" : "1 action",
  "Type" : "Concentration",
  "Description" : "Crée un mur de vent de 15 m x 4,50 m x 30 cm. Flèches et carreaux sont détournés.",
  "Classes" :["DRUID", "PROWLER"]
   },
"Mur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"OCCULT_KNIGHT", "ARCANE_SWINDLER"]
   },
"Non-détection": {
  "Name" : "Non-détection",
  "OV" : "Nondetection",
  "Level" : 3,
  "BBE" : "",
  "School" : "Abjuration",
  "Incantation" : "1 action",
  "Type" : "",
  "Description" : "Protège une créature ou un objet de toute divination ou détection magique.",
  "Classes" :["BARD", "MAGICIAN", "OCCULT_KNIGHT", "ARCANE_SWINDLER", "PROWLER"]
   },
"Nuage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"OCCULT_KNIGHT", "ARCANE_SWINDLER", "FIENDISH"]
   },
"Pas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"OCCULT_KNIGHT", "ARCANE_SWINDLER", "WIZARD"]
   },
"Petite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"OCCULT_KNIGHT", "ARCANE_SWINDLER"]
   },
"Peur": {
  "Name" : "Peur",
  "OV" : "Fear",
  "Level" : 3,
  "BBE" : "",
  "School" : "Illusion",
  "Incantation" : "1 action",
  "Type" : "Concentration",
  "Description" : "Les créatures dans un cône de 9 m doivent réussir un JdS de Sag. ou lâcher ce qu'elles tiennent, être effrayées et s'enfuir.",
  "Classes" :["BARD", "SORCERER", "MAGICIAN", "OCCULT_KNIGHT", "ARCANE_SWINDLER", "WIZARD"]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:["ARTIFICER",  "CLERK", "DRUID", "SORCERER", "MAGICIAN", "OCCULT_KNIGHT", "ARCANE_SWINDLER", "PROWLER"]
   },
"Raz-de-marée":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"OCCULT_KNIGHT", "ARCANE_SWINDLER"]
   },
"Réanimation": {
  "Name" : "Réanimation",
  "OV" : "Revivify",
  "Level" : 3,
  "BBE" : "Revigorer",
  "School" : "Nécromancie",
  "Incantation" : "1 action",
  "Type" : "",
  "Description" : "Ramène à 1 pv une créature morte depuis 1 minute ou moins (sauf vieillesse).",
  "Classes" :["ARTIFICER",  "CLERK", "PALADIN"]
   },
"Respiration aquatique": {
  "Name" : "Respiration aquatique",
  "OV" : "Water Breathing",
  "Level" : 3,
  "BBE" : "",
  "School" : "Transmutation",
  "Incantation" : "1 action",
  "Type" : "Rituel",
  "Description" : "Jusqu'à 10 créatures obtiennent la capacité de respirer sous l'eau.",
  "Classes" :["ARTIFICER", "DRUID", "SORCERER", "MAGICIAN", "OCCULT_KNIGHT", "ARCANE_SWINDLER", "PROWLER"]
   },
"Serviteur miniature": {
  "Name" : "Serviteur miniature",
  "OV" : "Tiny Servant",
  "Level" : 3,
  "BBE" : "",
  "School" : "Transmutation",
  "Incantation" : "1 minute",
  "Type" : "",
  "Description" : "Transforme un objet de taille TP en une créature avec bras et jambes qui obéit au lanceur (+2 objets/niv).",
  "Classes" :["ARTIFICER", "MAGICIAN", "OCCULT_KNIGHT", "ARCANE_SWINDLER"]
   },
"Sieste": {
  "Name" : "Sieste",
  "OV" : "Catnap",
  "Level" : 3,
  "BBE" : "",
  "School" : "Enchantement",
  "Incantation" : "1 action",
  "Type" : "",
  "Description" : "3 créatures consentantes tombent inconcientes et bénéficient d'un repos court (+1 créature/niv).",
  "Classes" :["ARTIFICER", "BARD", "SORCERER", "MAGICIAN", "OCCULT_KNIGHT", "ARCANE_SWINDLER"]
   }</v>
      </c>
    </row>
    <row r="466" spans="12:12">
      <c r="L466" t="str">
        <f>CONCATENATE(",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f>
        <v>,
"Tempête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"OCCULT_KNIGHT", "ARCANE_SWINDLER"]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"OCCULT_KNIGHT", "ARCANE_SWINDLER", "WIZARD"]
   },
"Transfert de vie": {
  "Name" : "Transfert de vie",
  "OV" : "Life Transference",
  "Level" : 3,
  "BBE" : "",
  "School" : "Nécromancie",
  "Incantation" : "1 action",
  "Type" : "",
  "Description" : "Le lanceur subit 4d8 dégâts nécrotiques et une autre créature récupère 2 fois le montant (+1d8 pv/niv).",
  "Classes" :[ "CLERK", "MAGICIAN", "OCCULT_KNIGHT", "ARCANE_SWINDLER"]
   },
"Vol": {
  "Name" : "Vol",
  "OV" : "Fly",
  "Level" : 3,
  "BBE" : "",
  "School" : "Transmutation",
  "Incantation" : "1 action",
  "Type" : "Concentration",
  "Description" : "La cible obtient une vitesse de vol de 18 mètres (+1 créature/niv).",
  "Classes" :["ARTIFICER", "SORCERER", "MAGICIAN", "OCCULT_KNIGHT", "ARCANE_SWINDLER", "WIZARD"]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"OCCULT_KNIGHT", "ARCANE_SWINDLER"]
   },
"Aura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
"Aura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
"Bannissement": {
  "Name" : "Bannissement",
  "OV" : "Banishment",
  "Level" : 4,
  "BBE" : "",
  "School" : "Abjuration",
  "Incantation" : "1 action",
  "Type" : "Concentration",
  "Description" : "La cible doit réussir un JdS de Cha. ou être envoyée sur un demi-plan non-dangereux (+1 créature/niv).",
  "Classes" :[ "CLERK", "SORCERER", "MAGICIAN", "OCCULT_KNIGHT", "ARCANE_SWINDLER", "PALADIN", "WIZARD"]
   },
"Bouclier de feu": {
  "Name" : "Bouclier de feu",
  "OV" : "Fire Shield",
  "Level" : 4,
  "BBE" : "",
  "School" : "Évocation",
  "Incantation" : "1 action",
  "Type" : "",
  "Description" : "Le lanceur obtient la résistance aux dégâts de froid ou de feu, et fait subir 2d8 dégâts aux attaquants à 1,50 m qui touchent.",
  "Classes" :["MAGICIAN", "OCCULT_KNIGHT", "ARCANE_SWINDLER", "FIENDISH"]
   },
"Charme-monstre": {
  "Name" : "Charme-monstre",
  "OV" : "Charm Monster",
  "Level" : 4,
  "BBE" : "",
  "School" : "Enchantement",
  "Incantation" : "1 action",
  "Type" : "",
  "Description" : "La cible doit réussir un JdS de Sag. ou être charmée par le lanceur (+1 créature/niv).",
  "Classes" :["BARD", "DRUID", "SORCERER", "MAGICIAN", "OCCULT_KNIGHT", "ARCANE_SWINDLER", "WIZARD"]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:["ARTIFICER", "MAGICIAN", "OCCULT_KNIGHT", "ARCANE_SWINDLER"]
   },
"Coffre secret de Léomund": {
  "Name" : "Coffre secret de Léomund",
  "OV" : "Leomund's Secret Chest",
  "Level" : 4,
  "BBE" : "",
  "School" : "Invocation",
  "Incantation" : "1 action",
  "Type" : "",
  "Description" : "Cache un coffre (90 x 60 x 60 cm) et son contenu dans le plan éthéré.",
  "Classes" :["ARTIFICER", "MAGICIAN", "OCCULT_KNIGHT", "ARCANE_SWINDLER"]
   },
"Compulsion": {
  "Name" : "Compulsion",
  "OV" : "Compulsion",
  "Level" : 4,
  "BBE" : "",
  "School" : "Enchantement",
  "Incantation" : "1 action",
  "Type" : "Concentration",
  "Description" : "Les cibles à 9 m doivent réussir un JdS de Sag. ou se déplacer dans une direction indiquée.",
  "Classes" :["BARD"]
   },
"Confusion":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"OCCULT_KNIGHT", "ARCANE_SWINDLER"]
   },
"Contrôle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"OCCULT_KNIGHT", "ARCANE_SWINDLER"]
   },
"Divination": {
  "Name" : "Divination",
  "OV" : "Divination",
  "Level" : 4,
  "BBE" : "",
  "School" : "Divination",
  "Incantation" : "1 action",
  "Type" : "Rituel",
  "Description" : "Le lanceur obtient une réponse fiable à 1 question au sujet d'un évènement à venir dans les 7 prochains jours.",
  "Classes" :[ "CLERK"]
   },
"Domination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"ARCHFAIRY", "GREAT_OLD"]
   },
"Fabrication": {
  "Name" : "Fabrication",
  "OV" : "Fabricate",
  "Level" : 4,
  "BBE" : "",
  "School" : "Transmutation",
  "Incantation" : "10 minutes",
  "Type" : "",
  "Description" : "Convertit des matériaux bruts en objets simples de taille G ou inférieure de la même matière.",
  "Classes" :["ARTIFICER", "MAGICIAN", "OCCULT_KNIGHT", "ARCANE_SWINDLER"]
   },
"Façonnage de la pierre": {
  "Name" : "Façonnage de la pierre",
  "OV" : "Stone Shape",
  "Level" : 4,
  "BBE" : "",
  "School" : "Transmutation",
  "Incantation" : "1 action",
  "Type" : "",
  "Description" : "Donne à un bloc de pierre de 1,50 m de côté n'importe quelle forme, ou y crée une ouverture.",
  "Classes" :["ARTIFICER",  "CLERK", "DRUID", "MAGICIAN", "OCCULT_KNIGHT", "ARCANE_SWINDLER"]
   },
"Fléau élémentaire": {
  "Name" : "Fléau élémentaire",
  "OV" : "Elemental Bane",
  "Level" : 4,
  "BBE" : "",
  "School" : "Transmutation",
  "Incantation" : "1 action",
  "Type" : "Concentration",
  "Description" : "La cible doit réussir un JdS de Con. ou subir 2d6 dégâts extra d'un type de dégâts spécifique (+1 cible/niv).",
  "Classes" :["ARTIFICER", "DRUID", "MAGICIAN", "OCCULT_KNIGHT", "ARCANE_SWINDLER", "WIZARD"]
   },
"Flétrissement": {
  "Name" : "Flétrissement",
  "OV" : "Blight",
  "Level" : 4,
  "BBE" : "",
  "School" : "Nécromancie",
  "Incantation" : "1 action",
  "Type" : "",
  "Description" : "La cible doit réussir un JdS de Con. ou subir 8d8 dégâts nécrotiques (dégâts/niv).",
  "Classes" :["DRUID", "SORCERER", "MAGICIAN", "OCCULT_KNIGHT", "ARCANE_SWINDLER", "WIZARD"]
   },
"Gardien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
"Insecte géant": {
  "Name" : "Insecte géant",
  "OV" : "Giant Insect",
  "Level" : 4,
  "BBE" : "",
  "School" : "Transmutation",
  "Incantation" : "1 action",
  "Type" : "Concentration",
  "Description" : "Transforme des insectes (de 10 mille-pattes à 1 scorpion) en créatures géantes qui obéissent aux ordres du lanceur.",
  "Classes" :["DRUID"]
   },
"Invisibilité supérieure": {
  "Name" : "Invisibilité supérieure",
  "OV" : "Greater Invisibility",
  "Level" : 4,
  "BBE" : "",
  "School" : "Illusion",
  "Incantation" : "1 action",
  "Type" : "Concentration",
  "Description" : "La cible devient invisible durant 1 minute.",
  "Classes" :["BARD", "SORCERER", "MAGICIAN", "OCCULT_KNIGHT", "ARCANE_SWINDLER", "ARCHFAIRY"]
   },
"Invocation de démon supérieur": {
  "Name" : "Invocation de démon supérieur",
  "OV" : "Summon Greater Demon",
  "Level" : 4,
  "BBE" : "",
  "School" : "Invocation",
  "Incantation" : "1 action",
  "Type" : "Concentration",
  "Description" : "Invoque de 1 démon FP 5 qui obéit aux ordres du lanceur (FP +1/niv).",
  "Classes" :["MAGICIAN", "OCCULT_KNIGHT", "ARCANE_SWINDLER", "WIZARD"]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"OCCULT_KNIGHT", "ARCANE_SWINDLER"]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
"Liane agrippeuse": {
  "Name" : "Liane agrippeuse",
  "OV" : "Grasping Vine",
  "Level" : 4,
  "BBE" : "",
  "School" : "Invocation",
  "Incantation" : "1 action bonus",
  "Type" : "Concentration",
  "Description" : "La cible doit réussir un JdS de Dex. ou être tirée sur 6 m par la liane.",
  "Classes" :["DRUID", "PROWLER"]
   },
"Liberté de mouvement": {
  "Name" : "Liberté de mouvement",
  "OV" : "Freedom of Movement",
  "Level" : 4,
  "BBE" : "",
  "School" : "Abjuration",
  "Incantation" : "1 action",
  "Type" : "",
  "Description" : "La cible n'est pas affectée dans ses mouvements par un terrain difficile, un sort ou de l'eau.",
  "Classes" :["ARTIFICER", "BARD",  "CLERK", "DRUID", "PROWLER"]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"OCCULT_KNIGHT", "ARCANE_SWINDLER", "PALADIN", "PROWLER"]
   },
"Métamorphose":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"OCCULT_KNIGHT", "ARCANE_SWINDLER"]
   },
"Mur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"OCCULT_KNIGHT", "ARCANE_SWINDLER", "FIENDISH"]
   },
"Oeil magique": {
  "Name" : "Oeil magique",
  "OV" : "Arcane Eye",
  "Level" : 4,
  "BBE" : "",
  "School" : "Divination",
  "Incantation" : "1 action",
  "Type" : "Concentration",
  "Description" : "Crée un oeil invisible avec vision dans le noir qui envoie au lanceur l'image mentale de ce qu'il voit.",
  "Classes" :["ARTIFICER", "MAGICIAN", "OCCULT_KNIGHT", "ARCANE_SWINDLER"]
   },
"Ombre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
"Peau de pierre": {
  "Name" : "Peau de pierre",
  "OV" : "Stoneskin",
  "Level" : 4,
  "BBE" : "",
  "School" : "Abjuration",
  "Incantation" : "1 action",
  "Type" : "Concentration",
  "Description" : "La cible obtient la résistante aux dégâts non magiques contondants, perforants et tranchants.",
  "Classes" :["ARTIFICER", "DRUID", "SORCERER", "MAGICIAN", "OCCULT_KNIGHT", "ARCANE_SWINDLER", "PROWLER"]
   },
"Porte dimensionnelle": {
  "Name" : "Porte dimensionnelle",
  "OV" : "Dimension Door",
  "Level" : 4,
  "BBE" : "",
  "School" : "Invocation",
  "Incantation" : "1 action",
  "Type" : "",
  "Description" : "Le lanceur et une autre créature de même taille sont téléportés à un maximum de 150 mètres.",
  "Classes" :["BARD", "SORCERER", "MAGICIAN", "OCCULT_KNIGHT", "ARCANE_SWINDLER", "WIZARD"]
   },
"Protection contre la mort": {
  "Name" : "Protection contre la mort",
  "OV" : "Death Ward",
  "Level" : 4,
  "BBE" : "",
  "School" : "Abjuration",
  "Incantation" : "1 action",
  "Type" : "",
  "Description" : "Lorsque la cible tombera pour la première fois à 0 pv, elle repassera automatiquement à 1 pv.",
  "Classes" :[ "CLERK", "PALADIN"]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"OCCULT_KNIGHT", "ARCANE_SWINDLER", "WIZARD"]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:["ARTIFICER", "MAGICIAN", "OCCULT_KNIGHT", "ARCANE_SWINDLER"]
   },
"Sphère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"OCCULT_KNIGHT", "ARCANE_SWINDLER"]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"OCCULT_KNIGHT", "ARCANE_SWINDLER"]
   },
"Sphère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"OCCULT_KNIGHT", "ARCANE_SWINDLER"]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"OCCULT_KNIGHT", "ARTIFICER", "ARTIFICER", "ARCANE_SWINDLER"]
   },
"Tempête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"OCCULT_KNIGHT", "ARCANE_SWINDLER"]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"OCCULT_KNIGHT", "ARCANE_SWINDLER", "GREAT_OLD"]
   },
"Terrain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"OCCULT_KNIGHT", "ARCANE_SWINDLER", "WIZARD"]
   },
"Amélioration de compétences": {
  "Name" : "Amélioration de compétences",
  "OV" : "Skill Empowerment",
  "Level" : 5,
  "BBE" : "",
  "School" : "Transmutation",
  "Incantation" : "1 action",
  "Type" : "Concentration",
  "Description" : "La cible double son bonus de maîtrise pour une compétence.",
  "Classes" :["ARTIFICER", "BARD", "SORCERER", "MAGICIAN", "OCCULT_KNIGHT", "ARCANE_SWINDLER"]
   },
"Animation d'objets": {
  "Name" : "Animation d'objets",
  "OV" : "Animate Objects",
  "Level" : 5,
  "BBE" : "Animation des objets",
  "School" : "Transmutation",
  "Incantation" : "1 action",
  "Type" : "Concentration",
  "Description" : "Anime jusqu'à 10 objets non magiques et contrôle leurs actions jusqu'à 150 m (+2 objets/niv).",
  "Classes" :["ARTIFICER", "BARD", "SORCERER", "MAGICIAN", "OCCULT_KNIGHT", "ARCANE_SWINDLER"]
   },
"Apparence trompeuse": {
  "Name" : "Apparence trompeuse",
  "OV" : "Seeming",
  "Level" : 5,
  "BBE" : "",
  "School" : "Illusion",
  "Incantation" : "1 action",
  "Type" : "",
  "Description" : "Change l'apparence physique et vestimentaire de cibles (JdS si non consentante).",
  "Classes" :["BARD", "SORCERER", "MAGICIAN", "OCCULT_KNIGHT", "ARCANE_SWINDLER", "ARCHFAIRY"]
   },
"Arme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
"Aube": {
  "Name" : "Aube",
  "OV" : "Dawn",
  "Level" : 5,
  "BBE" : "",
  "School" : "Évocation",
  "Incantation" : "1 action",
  "Type" : "Concentration",
  "Description" : "Les créatures dans un cylindre de 9 x 12 m doivent réussir un JdS de Con. ou subir 4d10 dégâts radiants.",
  "Classes" :[ "CLERK", "MAGICIAN", "OCCULT_KNIGHT", "ARCANE_SWINDLER"]
   },
"Carquois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
"Cercle de pouvoir": {
  "Name" : "Cercle de pouvoir",
  "OV" : "Circle of Power",
  "Level" : 5,
  "BBE" : "",
  "School" : "Abjuration",
  "Incantation" : "1 action",
  "Type" : "Concentration",
  "Description" : "Les créatures amicales dans un rayon de 9 m ont l'avantage aux JdS contre les sorts et autres effets magiques.",
  "Classes" :["PALADIN"]
   },
"Cercle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"OCCULT_KNIGHT", "ARCANE_SWINDLER"]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
"Colonne de flamme": {
  "Name" : "Colonne de flamme",
  "OV" : "Flame Strike",
  "Level" : 5,
  "BBE" : "",
  "School" : "Évocation",
  "Incantation" : "1 action",
  "Type" : "",
  "Description" : "Les créatures dans un cylindre de 6 x 12 m doivent réussir un JdS de Dex. ou subir 4d6 de feu et 4d6 radiants (dégâts/niv).",
  "Classes" :[ "CLERK", "FIENDISH"]
   },
"Communion": {
  "Name" : "Communion",
  "OV" : "Commune",
  "Level" : 5,
  "BBE" : "",
  "School" : "Divination",
  "Incantation" : "1 minute",
  "Type" : "Rituel",
  "Description" : "Permet d'obtenir d'une entité divine les réponses (oui ou non) à 3 questions.",
  "Classes" :[ "CLERK"]
   },
"Communion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
"Cône de froid": {
  "Name" : "Cône de froid",
  "OV" : "Cone of Cold",
  "Level" : 5,
  "BBE" : "",
  "School" : "Évocation",
  "Incantation" : "1 action",
  "Type" : "",
  "Description" : "Les créatures dans un cône de 18 m doivent réussir un JdS de Con. ou subir 8d8 dégâts de froid (dégâts/niv).",
  "Classes" :["SORCERER", "MAGICIAN", "OCCULT_KNIGHT", "ARCANE_SWINDLER"]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"OCCULT_KNIGHT", "ARCANE_SWINDLER", "WIZARD"]
   },
"Contagion": {
  "Name" : "Contagion",
  "OV" : "Contagion",
  "Level" : 5,
  "BBE" : "",
  "School" : "Nécromancie",
  "Incantation" : "1 action",
  "Type" : "",
  "Description" : "Si l'attaque avec un sort touche, la cible est infectée d'une maladie à choisir parmi les 6 proposées.",
  "Classes" :[ "CLERK", "DRUID"]
   },
"Contrat": {
  "Name" : "Contrat",
  "OV" : "Planar Binding",
  "Level" : 5,
  "BBE" : "Entrave planaire",
  "School" : "Abjuration",
  "Incantation" : "1 heure",
  "Type" : "",
  "Description" : "La cible (céleste, élémentaire, fée ou fiélon) doit réussir un JdS de Cha. ou servir le lanceur (durée/niv).",
  "Classes" :["BARD",  "CLERK", "DRUID", "MAGICIAN", "OCCULT_KNIGHT", "ARCANE_SWINDLER"]
   },
"Contrôle des vents": {
  "Name" : "Contrôle des vents",
  "OV" : "Control Winds",
  "Level" : 5,
  "BBE" : "",
  "School" : "Transmutation",
  "Incantation" : "1 action",
  "Type" : "Concentration",
  "Description" : "Contrôle l'air dans un cube de 30 m et produit un effet (Rafales, Écrasement ou Ascension).",
  "Classes" :["DRUID", "SORCERER", "MAGICIAN", "OCCULT_KNIGHT", "ARCANE_SWINDLER"]
   },
"Coquille antivie": {
  "Name" : "Coquille antivie",
  "OV" : "Antilife Shell",
  "Level" : 5,
  "BBE" : "",
  "School" : "Abjuration",
  "Incantation" : "1 action",
  "Type" : "Concentration",
  "Description" : "Empêche les créatures autres que morts-vivants et créatures artificielles de pénétrer dans un rayon de 3 m.",
  "Classes" :["DRUID"]
   },
"Création": {
  "Name" : "Création",
  "OV" : "Creation",
  "Level" : 5,
  "BBE" : "",
  "School" : "Illusion",
  "Incantation" : "1 minute",
  "Type" : "",
  "Description" : "Crée un objet non vivant fait de matières végétales ou minérales et pas plus grand qu'un cube de 1,50 m (+1,50 m/niv).",
  "Classes" :["ARTIFICER", "SORCERER", "MAGICIAN", "OCCULT_KNIGHT", "ARCANE_SWINDLER"]
   },
"Danse Macabre": {
  "Name" : "Danse Macabre",
  "OV" : "Danse Macabre",
  "Level" : 5,
  "BBE" : "",
  "School" : "Nécromancie",
  "Incantation" : "1 action",
  "Type" : "Concentration",
  "Description" : "Jusqu'à 5 corps de taille M ou P deviennent des zombies ou des squelettes sous le contrôle du lanceur (+2 corps/niv).",
  "Classes" :["MAGICIAN", "OCCULT_KNIGHT", "ARCANE_SWINDLER", "WIZARD"]
   },
"Déluge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"OCCULT_KNIGHT", "ARCANE_SWINDLER", "WIZARD"]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
"Domination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"OCCULT_KNIGHT", "ARCANE_SWINDLER", "ARCHFAIRY", "GREAT_OLD"]
   },
"Double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"OCCULT_KNIGHT", "ARCANE_SWINDLER"]
   },
"Énervation": {
  "Name" : "Énervation",
  "OV" : "Enervation",
  "Level" : 5,
  "BBE" : "",
  "School" : "Nécromancie",
  "Incantation" : "1 action",
  "Type" : "Concentration",
  "Description" : "La cible doit réussir un JdS de Dex. ou subir 4d8 dégâts nécrotiques à chaque round (+1d8/niv).",
  "Classes" :["SORCERER", "MAGICIAN", "OCCULT_KNIGHT", "ARCANE_SWINDLER", "WIZARD"]
   },
"Éveil": {
  "Name" : "Éveil",
  "OV" : "Awaken",
  "Level" : 5,
  "BBE" : "",
  "School" : "Transmutation",
  "Incantation" : "8 heures",
  "Type" : "",
  "Description" : "Donne à une bête ou à une plante (Intelligence 3 max) la capacité de parler et des sens humains durant 30 jours.",
  "Classes" :["BARD", "DRUID"]
   },
"Fléau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
"Frappe du vent d'acier": {
  "Name" : "Frappe du vent d'acier",
  "OV" : "Steel Wind Strike",
  "Level" : 5,
  "BBE" : "",
  "School" : "Invocation",
  "Incantation" : "1 action",
  "Type" : "",
  "Description" : "Si l'attaque avec un sort touche, inflige 6d10 dégâts de force à 5 créatures, puis le lanceur se téléporte.",
  "Classes" :["MAGICIAN", "OCCULT_KNIGHT", "ARCANE_SWINDLER", "PROWLER"]
   },
"Fureur de la nature": {
  "Name" : "Fureur de la nature",
  "OV" : "Wrath of Nature",
  "Level" : 5,
  "BBE" : "",
  "School" : "Évocation",
  "Incantation" : "1 action",
  "Type" : "Concentration",
  "Description" : "Anime arbres, roches et plantes dans un cube de 18 x 18 x 18 m.",
  "Classes" :["DRUID", "PROWLER"]
   },
"Immobilisation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"OCCULT_KNIGHT", "ARCANE_SWINDLER", "WIZARD"]
   },
"Immolation": {
  "Name" : "Immolation",
  "OV" : "Immolation",
  "Level" : 5,
  "BBE" : "",
  "School" : "Évocation",
  "Incantation" : "1 action",
  "Type" : "Concentration",
  "Description" : "La cible à 27 m doit réussir un JdS de Dex. ou subir 8d6 dégâts de feu et 4d6 dégâts de feu par la suite.",
  "Classes" :["SORCERER", "MAGICIAN", "OCCULT_KNIGHT", "ARCANE_SWINDLER"]
   }</v>
      </c>
    </row>
    <row r="467" spans="12:12">
      <c r="L467" t="str">
        <f>CONCATENATE(",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f>
        <v>,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
"Invocation d'élémentaire": {
  "Name" : "Invocation d'élémentaire",
  "OV" : "Conjure Elemental",
  "Level" : 5,
  "BBE" : "Invoquer un élémentaire",
  "School" : "Invocation",
  "Incantation" : "1 minute",
  "Type" : "Concentration",
  "Description" : "Invoque 1 élémentaire FP 5 amical (FP +1/niv).",
  "Classes" :["DRUID", "MAGICIAN", "OCCULT_KNIGHT", "ARCANE_SWINDLER"]
   },
"Invocation infernale": {
  "Name" : "Invocation infernale",
  "OV" : "Infernal Calling",
  "Level" : 5,
  "BBE" : "",
  "School" : "Invocation",
  "Incantation" : "1 minute",
  "Type" : "Concentration",
  "Description" : "Invoque 1 diable FP 6 hostile (+1 FP/niv)",
  "Classes" :["MAGICIAN", "OCCULT_KNIGHT", "ARCANE_SWINDLER", "WIZARD"]
   },
"Légende": {
  "Name" : "Légende",
  "OV" : "Legend Lore",
  "Level" : 5,
  "BBE" : "",
  "School" : "Divination",
  "Incantation" : "10 minutes",
  "Type" : "",
  "Description" : "Le lanceur obtient des informations sur une personne, un lieu ou un objet sous forme de contes ou d'histoires.",
  "Classes" :["BARD",  "CLERK", "MAGICIAN", "OCCULT_KNIGHT", "ARCANE_SWINDLER"]
   },
"Lien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"OCCULT_KNIGHT", "ARCANE_SWINDLER"]
   },
"Maelström": {
  "Name" : "Maelström",
  "OV" : "Maelstrom",
  "Level" : 5,
  "BBE" : "",
  "School" : "Évocation",
  "Incantation" : "1 action",
  "Type" : "Concentration",
  "Description" : "Les créatures dans un rayon de 9 m doivent réussir un JdS de For. ou subir 6d6 dégâts contondants et être tirées vers le centre.",
  "Classes" :["DRUID"]
   },
"Main de Bigby": {
  "Name" : "Main de Bigby",
  "OV" : "Bigby's Hand",
  "Level" : 5,
  "BBE" : "",
  "School" : "Évocation",
  "Incantation" : "1 action",
  "Type" : "Concentration",
  "Description" : "Crée une main de taille G et de Force 26 qui peut frapper (4d8 dégâts de force), pousser, agripper ou protéger (dégâts/niv).",
  "Classes" :["ARTIFICER", "MAGICIAN", "OCCULT_KNIGHT", "ARCANE_SWINDLER"]
   },
"Mission":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"OCCULT_KNIGHT", "ARCANE_SWINDLER", "PALADIN"]
   },
"Modification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"OCCULT_KNIGHT", "ARCANE_SWINDLER"]
   },
"Mur de force": {
  "Name" : "Mur de force",
  "OV" : "Wall of Force",
  "Level" : 5,
  "BBE" : "",
  "School" : "Évocation",
  "Incantation" : "1 action",
  "Type" : "Concentration",
  "Description" : "Crée un mur de force infranchissable physiquement (dix panneaux de 3 m) immunisé à tous les types de dégâts.",
  "Classes" :["MAGICIAN", "OCCULT_KNIGHT", "ARCANE_SWINDLER"]
   },
"Mur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"OCCULT_KNIGHT", "ARCANE_SWINDLER", "WIZARD"]
   },
"Mur de pierre": {
  "Name" : "Mur de pierre",
  "OV" : "Wall of Stone",
  "Level" : 5,
  "BBE" : "",
  "School" : "Évocation",
  "Incantation" : "1 action",
  "Type" : "Concentration",
  "Description" : "Crée un mur de pierre non magique de (dix panneaux de 3 m) qui peut être détruit.",
  "Classes" :["ARTIFICER", "DRUID", "SORCERER", "MAGICIAN", "OCCULT_KNIGHT", "ARCANE_SWINDLER"]
   },
"Nuage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"OCCULT_KNIGHT", "ARCANE_SWINDLER"]
   },
"Pas lointain": {
  "Name" : "Pas lointain",
  "OV" : "Far Step",
  "Level" : 5,
  "BBE" : "",
  "School" : "Invocation",
  "Incantation" : "1 action bonus",
  "Type" : "Concentration",
  "Description" : "Téléporte le lanceur à 18 m à chaque round par une action bonus.",
  "Classes" :["SORCERER", "MAGICIAN", "OCCULT_KNIGHT", "ARCANE_SWINDLER", "WIZARD"]
   },
"Passage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
"Passe-muraille": {
  "Name" : "Passe-muraille",
  "OV" : "Passwall",
  "Level" : 5,
  "BBE" : "",
  "School" : "Transmutation",
  "Incantation" : "1 action",
  "Type" : "",
  "Description" : "Ouvre un passage de 1,50 x 2,50 x 6 m à travers de la pierre, du bois ou du plâtre.",
  "Classes" :["MAGICIAN", "OCCULT_KNIGHT", "ARCANE_SWINDLER"]
   },
"Perturbations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"OCCULT_KNIGHT", "ARCANE_SWINDLER", "WIZARD"]
   },
"Rappel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
"Réincarnation": {
  "Name" : "Réincarnation",
  "OV" : "Reincarnate",
  "Level" : 5,
  "BBE" : "",
  "School" : "Transmutation",
  "Incantation" : "1 heure",
  "Type" : "",
  "Description" : "Réincarne l'âme d'un humanoïde mort depuis 10 jours max. La race du nouveau corps est déterminée au hasard.",
  "Classes" :["DRUID"]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:["ARTIFICER", "BARD",  "CLERK", "DRUID"]
   },
"Rêve": {
  "Name" : "Rêve",
  "OV" : "Dream",
  "Level" : 5,
  "BBE" : "",
  "School" : "Illusion",
  "Incantation" : "1 minute",
  "Type" : "",
  "Description" : "Façonne les rêves d'une créature qui dort et peut faire subir 3d6 dégâts psychiques en cas d'échec à un JdS de Sag.",
  "Classes" :["BARD", "MAGICIAN", "OCCULT_KNIGHT", "ARCANE_SWINDLER", "WIZARD"]
   },
"Sanctification": {
  "Name" : "Sanctification",
  "OV" : "Hallow",
  "Level" : 5,
  "BBE" : "",
  "School" : "Évocation",
  "Incantation" : "24 heures",
  "Type" : "",
  "Description" : "Empêche célestes, élémentaires, fiélons, fées et morts-vivants d'entrer dans un rayon de 18 m et protège/handicape les cibles.",
  "Classes" :[ "CLERK", "FIENDISH"]
   },
"Scrutation": {
  "Name" : "Scrutation",
  "OV" : "Scrying",
  "Level" : 5,
  "BBE" : "",
  "School" : "Divination",
  "Incantation" : "10 minutes",
  "Type" : "Concentration",
  "Description" : "Permet de voir et entendre une créature spécifique (on peut aussi cibler un lieu) sur le même plan (JdS de Sag).",
  "Classes" :["BARD",  "CLERK", "DRUID", "MAGICIAN", "OCCULT_KNIGHT", "ARCANE_SWINDLER", "WIZARD"]
   },
"Soins de groupe": {
  "Name" : "Soins de groupe",
  "OV" : "Mass Cure Wounds",
  "Level" : 5,
  "BBE" : "Soin des blessures de groupe",
  "School" : "Évocation",
  "Incantation" : "1 action",
  "Type" : "",
  "Description" : "Jusqu'à 6 créatures récupèrent 3d8+Mod.Carac.Inc pv (+1d8 pv/niv).",
  "Classes" :["BARD",  "CLERK", "DRUID"]
   },
"Télékinésie":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"OCCULT_KNIGHT", "ARCANE_SWINDLER", "GREAT_OLD"]
   },
"Transmutation de la pierre": {
  "Name" : "Transmutation de la pierre",
  "OV" : "Transmute Rock",
  "Level" : 5,
  "BBE" : "",
  "School" : "Transmutation",
  "Incantation" : "1 action",
  "Type" : "",
  "Description" : "Transforme un cube de 12 m de roche en boue ou de boue en roche.",
  "Classes" :["ARTIFICER", "DRUID", "MAGICIAN", "OCCULT_KNIGHT", "ARCANE_SWINDLER"]
   },
"Vague destructrice": {
  "Name" : "Vague destructrice",
  "OV" : "Destructive Wave",
  "Level" : 5,
  "BBE" : "",
  "School" : "Évocation",
  "Incantation" : "1 action",
  "Type" : "",
  "Description" : "Les cibles dans un rayon de 9 m doivent réussir un JdS de Con. ou subir 5d6 de tonnerre et 5d6 radiants ou nécrotiques.",
  "Classes" :["PALADIN"]
   },
"Allié planaire": {
  "Name" : "Allié planaire",
  "OV" : "Planar Ally",
  "Level" : 6,
  "BBE" : "",
  "School" : "Invocation",
  "Incantation" : "10 minutes",
  "Type" : "",
  "Description" : "Invoque un céleste, un élémentaire ou un fiélon qui aidera le lanceur contre paiement (1000 po/h, sacrifice, quête, etc).",
  "Classes" :[ "CLERK"]
   },
"Barrière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
"Bosquet des druides": {
  "Name" : "Bosquet des druides",
  "OV" : "Druid Grove",
  "Level" : 6,
  "BBE" : "",
  "School" : "Abjuration",
  "Incantation" : "10 minutes",
  "Type" : "",
  "Description" : "Protège une zone de 27 x 27 x 27 m par un brouillard, des lianes, des arbres animés, ou autres effets.",
  "Classes" :["DRUID"]
   },
"Cage des âmes": {
  "Name" : "Cage des âmes",
  "OV" : "Soul Cage",
  "Level" : 6,
  "BBE" : "",
  "School" : "Nécromancie",
  "Incantation" : "1 reaction",
  "Type" : "",
  "Description" : "Vole une âme pour gagner des pv, lui poser des questions, obtenir l'avantage à un dé ou voir un lieu qu'elle connaissait.",
  "Classes" :["MAGICIAN", "OCCULT_KNIGHT", "ARCANE_SWINDLER", "WIZARD"]
   },
"Cercle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"OCCULT_KNIGHT", "ARCANE_SWINDLER", "WIZARD"]
   },
"Chaîne d'éclairs": {
  "Name" : "Chaîne d'éclairs",
  "OV" : "Chain Lightning",
  "Level" : 6,
  "BBE" : "",
  "School" : "Évocation",
  "Incantation" : "1 action",
  "Type" : "",
  "Description" : "Jusqu'à 4 cibles différentes doivent réussir un JdS de Dex. ou subir 10d8 dégâts de foudre (+1 cible/niv).",
  "Classes" :["SORCERER", "MAGICIAN", "OCCULT_KNIGHT", "ARCANE_SWINDLER"]
   },
"Contamination": {
  "Name" : "Contamination",
  "OV" : "Harm",
  "Level" : 6,
  "BBE" : "",
  "School" : "Nécromancie",
  "Incantation" : "1 action",
  "Type" : "",
  "Description" : "La cible doit réussir un JdS de Con. ou subir 14d6 dégâts nécrotiques. Le sort ne peut pas la tuer toutefois.",
  "Classes" :[ "CLERK"]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"OCCULT_KNIGHT", "ARCANE_SWINDLER"]
   },
"Création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"OCCULT_KNIGHT", "ARCANE_SWINDLER", "WIZARD"]
   },
"Création d'homoncule": {
  "Name" : "Création d'homoncule",
  "OV" : "Create Homunculus",
  "Level" : 6,
  "BBE" : "",
  "School" : "Transmutation",
  "Incantation" : "1 heure",
  "Type" : "",
  "Description" : "Crée un homunculus auquel le lanceur peut transférer ses points de vie jusqu'à son prochain repos long.",
  "Classes" :["MAGICIAN", "OCCULT_KNIGHT", "ARCANE_SWINDLER"]
   },
"Danse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"OCCULT_KNIGHT", "ARCANE_SWINDLER"]
   },
"Désintégration":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"OCCULT_KNIGHT", "ARCANE_SWINDLER"]
   },
"Diversion": {
  "Name" : "Diversion",
  "OV" : "Scatter",
  "Level" : 6,
  "BBE" : "",
  "School" : "Invocation",
  "Incantation" : "1 action",
  "Type" : "",
  "Description" : "Jusqu'à 5 créatures sont téléportées (JdS de Sag. si non consentantes) dans un rayon de 36 m.",
  "Classes" :["SORCERER", "MAGICIAN", "OCCULT_KNIGHT", "ARCANE_SWINDLER", "WIZARD"]
   },
"Festin des héros": {
  "Name" : "Festin des héros",
  "OV" : "Heroes' Feast",
  "Level" : 6,
  "BBE" : "",
  "School" : "Invocation",
  "Incantation" : "10 minutes",
  "Type" : "",
  "Description" : "Produit un festin pour 12 convives qui guérit des maladies, immunise au poison et augmente les pv de 2d10 durant 24h.",
  "Classes" :[ "CLERK", "DRUID"]
   },
"Globe d'invulnérabilité": {
  "Name" : "Globe d'invulnérabilité",
  "OV" : "Globe of Invulnerability",
  "Level" : 6,
  "BBE" : "",
  "School" : "Abjuration",
  "Incantation" : "1 action",
  "Type" : "Concentration",
  "Description" : "Bloque les sorts de niveau 5 ou inférieur dans un rayon de 3 m (seuil/niv).",
  "Classes" :["SORCERER", "MAGICIAN", "OCCULT_KNIGHT", "ARCANE_SWINDLER"]
   },
"Guérison": {
  "Name" : "Guérison",
  "OV" : "Heal",
  "Level" : 6,
  "BBE" : "",
  "School" : "Évocation",
  "Incantation" : "1 action",
  "Type" : "",
  "Description" : "1 créature récupère 70 pv et est guérie des maladies, de l'aveuglement et de la surdité (+10 pv/niv).",
  "Classes" :[ "CLERK", "DRUID"]
   },
"Illusion programmée": {
  "Name" : "Illusion programmée",
  "OV" : "Programmed Illusion",
  "Level" : 6,
  "BBE" : "",
  "School" : "Illusion",
  "Incantation" : "1 action",
  "Type" : "",
  "Description" : "Crée l'image d'un objet ou d'une créature animée, avec sons, durant 5 min, suite à un déclencheur.",
  "Classes" :["BARD", "MAGICIAN", "OCCULT_KNIGHT", "ARCANE_SWINDLER"]
   },
"Interdiction":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
"Invocation de fée": {
  "Name" : "Invocation de fée",
  "OV" : "Conjure Fey",
  "Level" : 6,
  "BBE" : "Invoquer une fée",
  "School" : "Invocation",
  "Incantation" : "1 minute",
  "Type" : "Concentration",
  "Description" : "Invoque 1 fée FP 6 amicale (FP +1/niv).",
  "Classes" :["DRUID", "WIZARD"]
   },
"Marche sur le vent": {
  "Name" : "Marche sur le vent",
  "OV" : "Wind Walk",
  "Level" : 6,
  "BBE" : "",
  "School" : "Transmutation",
  "Incantation" : "1 minute",
  "Type" : "",
  "Description" : "Le lanceur et 10 créatures sont transformés en vapeur (vitesse de vol de 90 m et résistance aux dégâts d'armes non magiques).",
  "Classes" :["DRUID"]
   },
"Mauvais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"OCCULT_KNIGHT", "ARCANE_SWINDLER", "WIZARD"]
   },
"Mot de rappel": {
  "Name" : "Mot de rappel",
  "OV" : "Word of Recall",
  "Level" : 6,
  "BBE" : "Mot de retour",
  "School" : "Invocation",
  "Incantation" : "1 action",
  "Type" : "",
  "Description" : "Le lanceur et jusqu'à 5 autres créatures sont téléportés dans un sanctuaire préalablement choisi.",
  "Classes" :[ "CLERK"]
   },
"Mur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"OCCULT_KNIGHT", "ARCANE_SWINDLER"]
   },
"Mur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
"Ossements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
"Pétrification": {
  "Name" : "Pétrification",
  "OV" : "Flesh to Stone",
  "Level" : 6,
  "BBE" : "",
  "School" : "Transmutation",
  "Incantation" : "1 action",
  "Type" : "Concentration",
  "Description" : "La cible à 18 m doit réussir un JdS de Con. ou être entravée, voire pétrifiée après 3 échecs.",
  "Classes" :["MAGICIAN", "OCCULT_KNIGHT", "ARCANE_SWINDLER", "WIZARD"]
   },
"Portail magique": {
  "Name" : "Portail magique",
  "OV" : "Arcane Gate",
  "Level" : 6,
  "BBE" : "",
  "School" : "Invocation",
  "Incantation" : "1 action",
  "Type" : "Concentration",
  "Description" : "Crée 2 portails séparés de 150 m max et permet de passer de l'un à l'autre de manière transparente.",
  "Classes" :["SORCERER", "MAGICIAN", "OCCULT_KNIGHT", "ARCANE_SWINDLER", "WIZARD"]
   },
"Prévoyance": {
  "Name" : "Prévoyance",
  "OV" : "Contingency",
  "Level" : 6,
  "BBE" : "Contingence",
  "School" : "Évocation",
  "Incantation" : "10 minutes",
  "Type" : "",
  "Description" : "Conditionne l'activation d'un sort de niveau 5 ou inférieur qui peut cibler le lanceur.",
  "Classes" :["MAGICIAN", "OCCULT_KNIGHT", "ARCANE_SWINDLER"]
   },
"Prison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"OCCULT_KNIGHT", "ARCANE_SWINDLER", "WIZARD"]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"OCCULT_KNIGHT", "ARCANE_SWINDLER"]
   },
"Rayon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"OCCULT_KNIGHT", "ARCANE_SWINDLER"]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"OCCULT_KNIGHT", "ARCANE_SWINDLER", "WIZARD"]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"OCCULT_KNIGHT", "ARCANE_SWINDLER", "WIZARD"]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"OCCULT_KNIGHT", "ARCANE_SWINDLER", "WIZARD"]
   },
"Sacre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"OCCULT_KNIGHT", "ARCANE_SWINDLER", "WIZARD"]
   },
"Sens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"OCCULT_KNIGHT", "ARCANE_SWINDLER"]
   },
"Suggestion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"OCCULT_KNIGHT", "ARCANE_SWINDLER", "WIZARD"]
   },
"Terraformage":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"OCCULT_KNIGHT", "ARCANE_SWINDLER"]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"OCCULT_KNIGHT", "ARCANE_SWINDLER"]
   },
"Transport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
"Urne magique": {
  "Name" : "Urne magique",
  "OV" : "Magic Jar",
  "Level" : 6,
  "BBE" : "Possession",
  "School" : "Nécromancie",
  "Incantation" : "1 minute",
  "Type" : "",
  "Description" : "Le lanceur projette son âme dans une urne pour ensuite retourner dans son corps ou posséder le corps d'un humanoïde.",
  "Classes" :["MAGICIAN", "OCCULT_KNIGHT", "ARCANE_SWINDLER"]
   },
"Vision suprême": {
  "Name" : "Vision suprême",
  "OV" : "True Seeing",
  "Level" : 6,
  "BBE" : "",
  "School" : "Divination",
  "Incantation" : "1 action",
  "Type" : "",
  "Description" : "La cible obtient vision véritable, voit les portes secrètes magiques et dans le plan éthéré.",
  "Classes" :["BARD",  "CLERK", "SORCERER", "MAGICIAN", "OCCULT_KNIGHT", "ARCANE_SWINDLER", "WIZARD"]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"OCCULT_KNIGHT", "ARCANE_SWINDLER"]
   },
"Cage de force": {
  "Name" : "Cage de force",
  "OV" : "Forcecage",
  "Level" : 7,
  "BBE" : "",
  "School" : "Évocation",
  "Incantation" : "1 action",
  "Type" : "",
  "Description" : "Crée une cage de 6 m ou une boite de 3 m de force magique qui emprisonne une créature. Évasion possible par magie uniquement.",
  "Classes" :["BARD", "MAGICIAN", "OCCULT_KNIGHT", "ARCANE_SWINDLER", "WIZARD"]
   },
"Changement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"OCCULT_KNIGHT", "ARCANE_SWINDLER", "WIZARD"]
   },
"Couronne d'étoiles": {
  "Name" : "Couronne d'étoiles",
  "OV" : "Crown of Stars",
  "Level" : 7,
  "BBE" : "",
  "School" : "Évocation",
  "Incantation" : "1 action",
  "Type" : "",
  "Description" : "Si l'attaque avec un sort touche, 7 atomes infligent chacun 4d12 dégâts radiants (+1 atome/niv).",
  "Classes" :["SORCERER", "MAGICIAN", "OCCULT_KNIGHT", "ARCANE_SWINDLER", "WIZARD"]
   },
"Dissimulation": {
  "Name" : "Dissimulation",
  "OV" : "Sequester",
  "Level" : 7,
  "BBE" : "Séquestration",
  "School" : "Transmutation",
  "Incantation" : "1 action",
  "Type" : "",
  "Description" : "Protège une créature consentante (qui devient invisible et inconsciente) ou un objet contre les sorts de divination.",
  "Classes" :["MAGICIAN", "OCCULT_KNIGHT", "ARCANE_SWINDLER"]
   },
"Doigt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"OCCULT_KNIGHT", "ARCANE_SWINDLER", "WIZARD"]
   },
"Épée de Mordenkainen": {
  "Name" : "Épée de Mordenkainen",
  "OV" : "Mordenkainen's Sword",
  "Level" : 7,
  "BBE" : "",
  "School" : "Évocation",
  "Incantation" : "1 action",
  "Type" : "Concentration",
  "Description" : "Si l'attaque avec un sort touche, inflige 3d10 dégâts de force. L'épée peut se déplacer.",
  "Classes" :["BARD", "MAGICIAN", "OCCULT_KNIGHT", "ARCANE_SWINDLER"]
   },
"Forme éthérée": {
  "Name" : "Forme éthérée",
  "OV" : "Etherealness",
  "Level" : 7,
  "BBE" : "",
  "School" : "Transmutation",
  "Incantation" : "1 action",
  "Type" : "",
  "Description" : "Le lanceur est projetté dans le plan éthéré (nbre de créatures/niv).",
  "Classes" :["BARD", "SORCERER", "MAGICIAN", "OCCULT_KNIGHT", "ARCANE_SWINDLER", "WIZARD"]
   },
"Inversion de la gravité": {
  "Name" : "Inversion de la gravité",
  "OV" : "Reverse Gravity",
  "Level" : 7,
  "BBE" : "",
  "School" : "Transmutation",
  "Incantation" : "1 action",
  "Type" : "Concentration",
  "Description" : "Inverse la gravité dans un cylindre de 30 x 30 m.",
  "Classes" :["DRUID", "SORCERER", "MAGICIAN", "OCCULT_KNIGHT", "ARCANE_SWINDLER"]
   }</v>
      </c>
    </row>
    <row r="468" spans="12:12">
      <c r="L468" t="str">
        <f>CONCATENATE(",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f>
        <v>,
"Invocation de céleste": {
  "Name" : "Invocation de céleste",
  "OV" : "Conjure Celestial",
  "Level" : 7,
  "BBE" : "Invoquer un céleste",
  "School" : "Invocation",
  "Incantation" : "1 minute",
  "Type" : "Concentration",
  "Description" : "Invoque 1 céleste FP 4 amical (FP +1/niv).",
  "Classes" :[ "CLERK"]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"OCCULT_KNIGHT", "ARCANE_SWINDLER"]
   },
"Mirage": {
  "Name" : "Mirage",
  "OV" : "Mirage Arcane",
  "Level" : 7,
  "BBE" : "",
  "School" : "Illusion",
  "Incantation" : "10 minutes",
  "Type" : "",
  "Description" : "Transforme l'apparence (à la vue, à l'ouïe, à l'odorat et au toucher) d'un carré de 1,5 km.",
  "Classes" :["BARD", "DRUID", "MAGICIAN", "OCCULT_KNIGHT", "ARCANE_SWINDLER"]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"OCCULT_KNIGHT", "ARCANE_SWINDLER", "WIZARD"]
   },
"Parole divine": {
  "Name" : "Parole divine",
  "OV" : "Divine Word",
  "Level" : 7,
  "BBE" : "",
  "School" : "Évocation",
  "Incantation" : "1 action bonus",
  "Type" : "",
  "Description" : "Les cibles doivent réussir un JdS de Cha. ou subir un effet (assourdi, aveuglé, etc). Certaines créatures sont bannies.",
  "Classes" :[ "CLERK"]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"OCCULT_KNIGHT", "ARCANE_SWINDLER"]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"OCCULT_KNIGHT", "ARCANE_SWINDLER"]
   },
"Régénération": {
  "Name" : "Régénération",
  "OV" : "Regenerate",
  "Level" : 7,
  "BBE" : "",
  "School" : "Transmutation",
  "Incantation" : "1 minute",
  "Type" : "",
  "Description" : "La cible récupère 4d8+15 pv puis 1 pv par round et ses membres sectionnés repoussent.",
  "Classes" :["BARD",  "CLERK", "DRUID"]
   },
"Résurrection": {
  "Name" : "Résurrection",
  "OV" : "Resurrection",
  "Level" : 7,
  "BBE" : "",
  "School" : "Nécromancie",
  "Incantation" : "1 heure",
  "Type" : "",
  "Description" : "Ramène à la vie (pv max) une créature morte depuis moins de 100 ans (sauf vieillesse). Restaure les parties du corps amputées.",
  "Classes" :["BARD",  "CLERK"]
   },
"Simulacre": {
  "Name" : "Simulacre",
  "OV" : "Simulacrum",
  "Level" : 7,
  "BBE" : "",
  "School" : "Illusion",
  "Incantation" : "12 heures",
  "Type" : "",
  "Description" : "Crée un double d'une bête ou d'un humanoïde avec les mêmes capacités, la moitié des pv et sans équipement.",
  "Classes" :["MAGICIAN", "OCCULT_KNIGHT", "ARCANE_SWINDLER"]
   },
"Symbole": {
  "Name" : "Symbole",
  "OV" : "Symbol",
  "Level" : 7,
  "BBE" : "",
  "School" : "Abjuration",
  "Incantation" : "1 minute",
  "Type" : "",
  "Description" : "Défini le déclencheur et l'effet d'un glyphe sur un objet (mort, discorde, peur, désespoir, démence, douleur, sommeil, etc).",
  "Classes" :["BARD",  "CLERK", "MAGICIAN", "OCCULT_KNIGHT", "ARCANE_SWINDLER"]
   },
"Téléportation":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"OCCULT_KNIGHT", "ARCANE_SWINDLER"]
   },
"Tempête de feu": {
  "Name" : "Tempête de feu",
  "OV" : "Fire Storm",
  "Level" : 7,
  "BBE" : "",
  "School" : "Évocation",
  "Incantation" : "1 action",
  "Type" : "",
  "Description" : "Les créatures dans dix cubes de 3 m doivent réussir un JdS de Dex. ou subir 7d10 dégâts de feu.",
  "Classes" :[ "CLERK", "DRUID", "SORCERER"]
   },
"Temple des dieux": {
  "Name" : "Temple des dieux",
  "OV" : "Temple of the Gods",
  "Level" : 7,
  "BBE" : "",
  "School" : "Invocation",
  "Incantation" : "1 heure",
  "Type" : "",
  "Description" : "Fait apparaitre un temple dédié à un dieu sur une surface de 36 x 36 m pour 1 jour.",
  "Classes" :[ "CLERK"]
   },
"Tourbillon": {
  "Name" : "Tourbillon",
  "OV" : "Whirlwind",
  "Level" : 7,
  "BBE" : "",
  "School" : "Évocation",
  "Incantation" : "1 action",
  "Type" : "Concentration",
  "Description" : "Les créatures dans un cylindre de 3 x 9 m doivent réussir un JdS de Dex. ou subir 10d6 dégâts contondants.",
  "Classes" :["DRUID", "SORCERER", "MAGICIAN", "OCCULT_KNIGHT", "ARCANE_SWINDLER"]
   },
"Aura sacrée": {
  "Name" : "Aura sacrée",
  "OV" : "Holy Aura",
  "Level" : 8,
  "BBE" : "",
  "School" : "Abjuration",
  "Incantation" : "1 action",
  "Type" : "Concentration",
  "Description" : "Les cibles dans un rayon de 9 m ont l'avantage aux JdS. Les autres créatures ont un désavantage à l'attaque contre ces cibles.",
  "Classes" :[ "CLERK"]
   },
"Bagou": {
  "Name" : "Bagou",
  "OV" : "Glibness",
  "Level" : 8,
  "BBE" : "",
  "School" : "Transmutation",
  "Incantation" : "1 action",
  "Type" : "",
  "Description" : "Donne 15 à un jet de Charisme et masque les mensonges lors d'une détection magique.",
  "Classes" :["BARD", "WIZARD"]
   },
"Champ antimagie": {
  "Name" : "Champ antimagie",
  "OV" : "Antimagic Field",
  "Level" : 8,
  "BBE" : "",
  "School" : "Abjuration",
  "Incantation" : "1 action",
  "Type" : "Concentration",
  "Description" : "Crée une sphère de 3 m de rayon dans laquelle les sorts et les objets magiques ne fonctionnent plus.",
  "Classes" :[ "CLERK", "MAGICIAN", "OCCULT_KNIGHT", "ARCANE_SWINDLER"]
   },
"Clone": {
  "Name" : "Clone",
  "OV" : "Clone",
  "Level" : 8,
  "BBE" : "",
  "School" : "Nécromancie",
  "Incantation" : "1 heure",
  "Type" : "",
  "Description" : "Crée en 120 jours le double inerte d'une créature vivante. Si la créature originale meurt, son âme est transférée dans le clone.",
  "Classes" :["MAGICIAN", "OCCULT_KNIGHT", "ARCANE_SWINDLER"]
   },
"Contrôle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"OCCULT_KNIGHT", "ARCANE_SWINDLER"]
   },
"Demi-plan": {
  "Name" : "Demi-plan",
  "OV" : "Demiplane",
  "Level" : 8,
  "BBE" : "",
  "School" : "Invocation",
  "Incantation" : "1 action",
  "Type" : "",
  "Description" : "Crée une porte qui conduit à un demi-plan (cube de 9 m). Les créatures encore dans le demi-plan à la fin du sort sont piégées.",
  "Classes" :["MAGICIAN", "OCCULT_KNIGHT", "ARCANE_SWINDLER", "WIZARD"]
   },
"Domination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"OCCULT_KNIGHT", "ARCANE_SWINDLER", "WIZARD"]
   },
"Dragon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"OCCULT_KNIGHT", "ARCANE_SWINDLER"]
   },
"Éclat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"OCCULT_KNIGHT", "ARCANE_SWINDLER"]
   },
"Esprit faible": {
  "Name" : "Esprit faible",
  "OV" : "Feeblemind",
  "Level" : 8,
  "BBE" : "",
  "School" : "Enchantement",
  "Incantation" : "1 action",
  "Type" : "",
  "Description" : "La cible subit 4d6 dégâts psychiques et doit réussir un JdS d'Int. ou son Charisme et son Intelligence tombent à 1.",
  "Classes" :["BARD", "DRUID", "MAGICIAN", "OCCULT_KNIGHT", "ARCANE_SWINDLER", "WIZARD"]
   },
"Esprit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"OCCULT_KNIGHT", "ARCANE_SWINDLER"]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"OCCULT_KNIGHT", "ARCANE_SWINDLER"]
   },
"Formes animales": {
  "Name" : "Formes animales",
  "OV" : "Animal Shapes",
  "Level" : 8,
  "BBE" : "",
  "School" : "Transmutation",
  "Incantation" : "1 action",
  "Type" : "Concentration",
  "Description" : "Les cibles consentantes à 9 m se transforment en bêtes de FP 4 ou inférieur.",
  "Classes" :["DRUID"]
   },
"Forteresse majestueuse": {
  "Name" : "Forteresse majestueuse",
  "OV" : "Mighty Fortress",
  "Level" : 8,
  "BBE" : "",
  "School" : "Invocation",
  "Incantation" : "1 minute",
  "Type" : "",
  "Description" : "Fait apparaitre une forteresse de pierre sur une surface de 36 x 36 m pour 7 jours.",
  "Classes" :["MAGICIAN", "OCCULT_KNIGHT", "ARCANE_SWINDLER"]
   },
"Labyrinthe": {
  "Name" : "Labyrinthe",
  "OV" : "Maze",
  "Level" : 8,
  "BBE" : "",
  "School" : "Invocation",
  "Incantation" : "1 action",
  "Type" : "Concentration",
  "Description" : "Bannit une créature dans un demi-plan labyrinthique. Jet d'Intelligence pour s'évader avant la fin du sort.",
  "Classes" :["MAGICIAN", "OCCULT_KNIGHT", "ARCANE_SWINDLER"]
   },
"Mot de pouvoir étourdissant": {
  "Name" : "Mot de pouvoir étourdissant",
  "OV" : "Power Word Stun",
  "Level" : 8,
  "BBE" : "",
  "School" : "Enchantement",
  "Incantation" : "1 action",
  "Type" : "",
  "Description" : "La cible (150 pv max) est étourdie jusqu'à ce qu'elle réussisse un JdS de Con.",
  "Classes" :["BARD", "SORCERER", "MAGICIAN", "OCCULT_KNIGHT", "ARCANE_SWINDLER", "WIZARD"]
   },
"Nuage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"OCCULT_KNIGHT", "ARCANE_SWINDLER"]
   },
"Répulsion-Attirance":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"OCCULT_KNIGHT", "ARCANE_SWINDLER"]
   },
"Télépathie": {
  "Name" : "Télépathie",
  "OV" : "Telepathy",
  "Level" : 8,
  "BBE" : "",
  "School" : "Évocation",
  "Incantation" : "1 action",
  "Type" : "",
  "Description" : "Communique par télépathie avec une créature connue et consentante sur le même plan d'existence.",
  "Classes" :["MAGICIAN", "OCCULT_KNIGHT", "ARCANE_SWINDLER"]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"OCCULT_KNIGHT", "ARCANE_SWINDLER", "WIZARD"]
   },
"Tremblement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
"Tsunami": {
  "Name" : "Tsunami",
  "OV" : "Tsunami",
  "Level" : 8,
  "BBE" : "",
  "School" : "Invocation",
  "Incantation" : "1 minute",
  "Type" : "Concentration",
  "Description" : "Les créatures dans une zone de 90 x 90 x 15 m doivent réussir un JdS de For. ou subir 6d10 dégâts contondants.",
  "Classes" :["DRUID"]
   },
"Arrêt du temps": {
  "Name" : "Arrêt du temps",
  "OV" : "Time Stop",
  "Level" : 9,
  "BBE" : "",
  "School" : "Transmutation",
  "Incantation" : "1 action",
  "Type" : "",
  "Description" : "Arrête le temps durant 1d4+1 tours pour tout le monde sauf pour le lanceur.",
  "Classes" :["SORCERER", "MAGICIAN", "OCCULT_KNIGHT", "ARCANE_SWINDLER"]
   },
"Changement de forme": {
  "Name" : "Changement de forme",
  "OV" : "Shapechange",
  "Level" : 9,
  "BBE" : "",
  "School" : "Transmutation",
  "Incantation" : "1 action",
  "Type" : "Concentration",
  "Description" : "Le lanceur prend la forme d'une créature qu'il a déjà vue d'un FP égal ou inférieur à son niveau.",
  "Classes" :["DRUID", "MAGICIAN", "OCCULT_KNIGHT", "ARCANE_SWINDLER"]
   },
"Emprisonnement": {
  "Name" : "Emprisonnement",
  "OV" : "Imprisonment",
  "Level" : 9,
  "BBE" : "",
  "School" : "Abjuration",
  "Incantation" : "1 minute",
  "Type" : "",
  "Description" : "La cible à 9 m doit réussir un JdS de Sag. ou être retenue prisonnière. La forme est à choisir parmi 6 options.",
  "Classes" :["MAGICIAN", "OCCULT_KNIGHT", "ARCANE_SWINDLER", "WIZARD"]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"OCCULT_KNIGHT", "ARCANE_SWINDLER"]
   },
"Guérison de groupe": {
  "Name" : "Guérison de groupe",
  "OV" : "Mass Heal",
  "Level" : 9,
  "BBE" : "",
  "School" : "Évocation",
  "Incantation" : "1 action",
  "Type" : "",
  "Description" : "Plusieurs créatures récupèrent un total de 700 pv et sont guéries des maladies, de l'aveuglement et de la surdité.",
  "Classes" :[ "CLERK"]
   },
"Hurlement psychique": {
  "Name" : "Hurlement psychique",
  "OV" : "Psychic Scream",
  "Level" : 9,
  "BBE" : "",
  "School" : "Enchantement",
  "Incantation" : "1 action",
  "Type" : "",
  "Description" : "Jusqu'à 10 créatures doivent réussir un JdS d'Int. ou subir 14d6 dégâts psychiques.",
  "Classes" :["BARD", "SORCERER", "MAGICIAN", "OCCULT_KNIGHT", "ARCANE_SWINDLER", "WIZARD"]
   },
"Invulnérabilité": {
  "Name" : "Invulnérabilité",
  "OV" : "Invulnerability",
  "Level" : 9,
  "BBE" : "",
  "School" : "Abjuration",
  "Incantation" : "1 action",
  "Type" : "Concentration",
  "Description" : "Le lanceur gagne l'immunité à tous les dégàts.",
  "Classes" :["MAGICIAN", "OCCULT_KNIGHT", "ARCANE_SWINDLER"]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"OCCULT_KNIGHT", "ARCANE_SWINDLER"]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"OCCULT_KNIGHT", "ARCANE_SWINDLER", "WIZARD"]
   },
"Mot de pouvoir guérisseur": {
  "Name" : "Mot de pouvoir guérisseur",
  "OV" : "Power Word Heal",
  "Level" : 9,
  "BBE" : "",
  "School" : "Évocation",
  "Incantation" : "1 action",
  "Type" : "",
  "Description" : "La cible récupère tous ses points de vie et perd les conditions charmé, effrayé, paralysé et étourdi.",
  "Classes" :["BARD"]
   },
"Mot de pouvoir mortel": {
  "Name" : "Mot de pouvoir mortel",
  "OV" : "Power Word Kill",
  "Level" : 9,
  "BBE" : "",
  "School" : "Enchantement",
  "Incantation" : "1 action",
  "Type" : "",
  "Description" : "La cible (100 pv max) meurt !",
  "Classes" :["BARD", "SORCERER", "MAGICIAN", "OCCULT_KNIGHT", "ARCANE_SWINDLER", "WIZARD"]
   },
"Mur prismatique": {
  "Name" : "Mur prismatique",
  "OV" : "Prismatic Wall",
  "Level" : 9,
  "BBE" : "",
  "School" : "Abjuration",
  "Incantation" : "1 action",
  "Type" : "",
  "Description" : "Crée un mur de plusieurs couches qui infligent des effets et dégâts différents suivant la couche.",
  "Classes" :["MAGICIAN", "OCCULT_KNIGHT", "ARCANE_SWINDLER"]
   },
"Nuée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"OCCULT_KNIGHT", "ARCANE_SWINDLER"]
   },
"Portail": {
  "Name" : "Portail",
  "OV" : "Gate",
  "Level" : 9,
  "BBE" : "",
  "School" : "Invocation",
  "Incantation" : "1 action",
  "Type" : "Concentration",
  "Description" : "Crée un portail vers un autre plan. Permet aussi d'invoquer une créature d'un autre plan.",
  "Classes" :[ "CLERK", "SORCERER", "MAGICIAN", "OCCULT_KNIGHT", "ARCANE_SWINDLER"]
   },
"Prémonition": {
  "Name" : "Prémonition",
  "OV" : "Foresight",
  "Level" : 9,
  "BBE" : "",
  "School" : "Divination",
  "Incantation" : "1 minute",
  "Type" : "",
  "Description" : "1 créature voit son futur proche, ne peut être surprise et a l'avantage à ses jets. Les attaque contre elle ont un désavantage.",
  "Classes" :["BARD", "DRUID", "MAGICIAN", "OCCULT_KNIGHT", "ARCANE_SWINDLER", "WIZARD"]
   },
"Projection astrale": {
  "Name" : "Projection astrale",
  "OV" : "Astral Projection",
  "Level" : 9,
  "BBE" : "",
  "School" : "Nécromancie",
  "Incantation" : "1 heure",
  "Type" : "",
  "Description" : "Le lanceur et jusqu'à 8 créatures sont projetés dans le plan Astral.",
  "Classes" :[ "CLERK", "MAGICIAN", "OCCULT_KNIGHT", "ARCANE_SWINDLER", "WIZARD"]
   },
"Résurrection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
"Souhait": {
  "Name" : "Souhait",
  "OV" : "Wish",
  "Level" : 9,
  "BBE" : "",
  "School" : "Invocation",
  "Incantation" : "1 action",
  "Type" : "",
  "Description" : "Duplique un sort de niveau 8 ou inférieur sans composantes, ou crée un autre effet à la discrétion du MD.",
  "Classes" :["SORCERER", "MAGICIAN", "OCCULT_KNIGHT", "ARCANE_SWINDLER"]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70" spans="12:12">
      <c r="L470" t="str">
        <f>CONCATENATE(L463,L464,L465,L466,L467)</f>
        <v xml:space="preserve">"Amis":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row>
  </sheetData>
  <sortState xmlns:xlrd2="http://schemas.microsoft.com/office/spreadsheetml/2017/richdata2" ref="A2:J461">
    <sortCondition ref="A2:A461"/>
    <sortCondition ref="B2:B461"/>
  </sortState>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05471-0A62-458D-ACB5-F660B7A19BD0}">
  <dimension ref="A1:I44"/>
  <sheetViews>
    <sheetView topLeftCell="A22" workbookViewId="0">
      <selection activeCell="E37" sqref="E37"/>
    </sheetView>
  </sheetViews>
  <sheetFormatPr baseColWidth="10" defaultRowHeight="15"/>
  <cols>
    <col min="2" max="2" width="28" customWidth="1"/>
    <col min="3" max="3" width="22.42578125" customWidth="1"/>
    <col min="4" max="4" width="15.5703125" customWidth="1"/>
    <col min="5" max="5" width="25.7109375" customWidth="1"/>
    <col min="6" max="6" width="22.85546875" customWidth="1"/>
    <col min="7" max="7" width="28" customWidth="1"/>
  </cols>
  <sheetData>
    <row r="1" spans="1:9">
      <c r="A1" s="154" t="s">
        <v>302</v>
      </c>
      <c r="B1" s="154" t="s">
        <v>5621</v>
      </c>
      <c r="C1" s="154" t="s">
        <v>2824</v>
      </c>
      <c r="D1" s="154" t="s">
        <v>0</v>
      </c>
      <c r="E1" s="154" t="s">
        <v>5624</v>
      </c>
      <c r="F1" s="154" t="s">
        <v>5622</v>
      </c>
      <c r="G1" s="154" t="s">
        <v>5623</v>
      </c>
    </row>
    <row r="2" spans="1:9">
      <c r="A2" s="160"/>
      <c r="B2" s="161" t="s">
        <v>5943</v>
      </c>
      <c r="C2" s="161"/>
      <c r="D2" s="161">
        <v>1</v>
      </c>
      <c r="E2" s="161" t="s">
        <v>5625</v>
      </c>
      <c r="F2" s="161">
        <v>0</v>
      </c>
      <c r="G2" s="310"/>
      <c r="I2" t="str">
        <f>""""&amp;A2&amp;B2&amp;C2&amp;"-"&amp;D2&amp;""": {
  ""Race"" : """&amp;A2&amp;""",
  ""SubRace"" : """&amp;B2&amp;""",
  ""Specialisation"" : """&amp;C2&amp;""",
  ""Level"" : "&amp;D2&amp;",
  ""Spells"" : ["&amp;E2&amp;"],
  ""BonusLocation"" : "&amp;F2&amp;",
  ""BonusLocationClasses"" : ["&amp;G2&amp;"]
   }"</f>
        <v>"TIEFFLING_0-1": {
  "Race" : "",
  "SubRace" : "TIEFFLING_0",
  "Specialisation" : "",
  "Level" : 1,
  "Spells" : ["Thaumaturgie"],
  "BonusLocation" : 0,
  "BonusLocationClasses" : []
   }</v>
      </c>
    </row>
    <row r="3" spans="1:9">
      <c r="A3" s="48"/>
      <c r="B3" s="18" t="s">
        <v>5943</v>
      </c>
      <c r="C3" s="18"/>
      <c r="D3" s="18">
        <v>3</v>
      </c>
      <c r="E3" s="18" t="s">
        <v>5626</v>
      </c>
      <c r="F3" s="18">
        <v>0</v>
      </c>
      <c r="G3" s="100"/>
      <c r="I3" t="str">
        <f t="shared" ref="I3:I41" si="0">""""&amp;A3&amp;B3&amp;C3&amp;"-"&amp;D3&amp;""": {
  ""Race"" : """&amp;A3&amp;""",
  ""SubRace"" : """&amp;B3&amp;""",
  ""Specialisation"" : """&amp;C3&amp;""",
  ""Level"" : "&amp;D3&amp;",
  ""Spells"" : ["&amp;E3&amp;"],
  ""BonusLocation"" : "&amp;F3&amp;",
  ""BonusLocationClasses"" : ["&amp;G3&amp;"]
   }"</f>
        <v>"TIEFFLING_0-3": {
  "Race" : "",
  "SubRace" : "TIEFFLING_0",
  "Specialisation" : "",
  "Level" : 3,
  "Spells" : ["Représailles infernales"],
  "BonusLocation" : 0,
  "BonusLocationClasses" : []
   }</v>
      </c>
    </row>
    <row r="4" spans="1:9">
      <c r="A4" s="51"/>
      <c r="B4" s="52" t="s">
        <v>5943</v>
      </c>
      <c r="C4" s="52"/>
      <c r="D4" s="52">
        <v>5</v>
      </c>
      <c r="E4" s="52" t="s">
        <v>5627</v>
      </c>
      <c r="F4" s="52">
        <v>0</v>
      </c>
      <c r="G4" s="106"/>
      <c r="I4" t="str">
        <f t="shared" si="0"/>
        <v>"TIEFFLING_0-5": {
  "Race" : "",
  "SubRace" : "TIEFFLING_0",
  "Specialisation" : "",
  "Level" : 5,
  "Spells" : ["Ténèbres"],
  "BonusLocation" : 0,
  "BonusLocationClasses" : []
   }</v>
      </c>
    </row>
    <row r="5" spans="1:9">
      <c r="A5" s="160"/>
      <c r="B5" s="161" t="s">
        <v>5837</v>
      </c>
      <c r="C5" s="161"/>
      <c r="D5" s="161">
        <v>1</v>
      </c>
      <c r="E5" s="161" t="s">
        <v>5625</v>
      </c>
      <c r="F5" s="161">
        <v>0</v>
      </c>
      <c r="G5" s="310"/>
      <c r="I5" t="str">
        <f>""""&amp;A5&amp;B5&amp;C5&amp;"-"&amp;D5&amp;""": {
  ""Race"" : """&amp;A5&amp;""",
  ""SubRace"" : """&amp;B5&amp;""",
  ""Specialisation"" : """&amp;C5&amp;""",
  ""Level"" : "&amp;D5&amp;",
  ""Spells"" : ["&amp;E5&amp;"],
  ""BonusLocation"" : "&amp;F5&amp;",
  ""BonusLocationClasses"" : ["&amp;G5&amp;"]
   }"</f>
        <v>"TIEFFLING_ASMODEUS-1": {
  "Race" : "",
  "SubRace" : "TIEFFLING_ASMODEUS",
  "Specialisation" : "",
  "Level" : 1,
  "Spells" : ["Thaumaturgie"],
  "BonusLocation" : 0,
  "BonusLocationClasses" : []
   }</v>
      </c>
    </row>
    <row r="6" spans="1:9">
      <c r="A6" s="48"/>
      <c r="B6" s="18" t="s">
        <v>5837</v>
      </c>
      <c r="C6" s="18"/>
      <c r="D6" s="18">
        <v>3</v>
      </c>
      <c r="E6" s="18" t="s">
        <v>5626</v>
      </c>
      <c r="F6" s="18">
        <v>0</v>
      </c>
      <c r="G6" s="100"/>
      <c r="I6" t="str">
        <f t="shared" ref="I6:I7" si="1">""""&amp;A6&amp;B6&amp;C6&amp;"-"&amp;D6&amp;""": {
  ""Race"" : """&amp;A6&amp;""",
  ""SubRace"" : """&amp;B6&amp;""",
  ""Specialisation"" : """&amp;C6&amp;""",
  ""Level"" : "&amp;D6&amp;",
  ""Spells"" : ["&amp;E6&amp;"],
  ""BonusLocation"" : "&amp;F6&amp;",
  ""BonusLocationClasses"" : ["&amp;G6&amp;"]
   }"</f>
        <v>"TIEFFLING_ASMODEUS-3": {
  "Race" : "",
  "SubRace" : "TIEFFLING_ASMODEUS",
  "Specialisation" : "",
  "Level" : 3,
  "Spells" : ["Représailles infernales"],
  "BonusLocation" : 0,
  "BonusLocationClasses" : []
   }</v>
      </c>
    </row>
    <row r="7" spans="1:9">
      <c r="A7" s="51"/>
      <c r="B7" s="52" t="s">
        <v>5837</v>
      </c>
      <c r="C7" s="52"/>
      <c r="D7" s="52">
        <v>5</v>
      </c>
      <c r="E7" s="52" t="s">
        <v>5627</v>
      </c>
      <c r="F7" s="52">
        <v>0</v>
      </c>
      <c r="G7" s="106"/>
      <c r="I7" t="str">
        <f t="shared" si="1"/>
        <v>"TIEFFLING_ASMODEUS-5": {
  "Race" : "",
  "SubRace" : "TIEFFLING_ASMODEUS",
  "Specialisation" : "",
  "Level" : 5,
  "Spells" : ["Ténèbres"],
  "BonusLocation" : 0,
  "BonusLocationClasses" : []
   }</v>
      </c>
    </row>
    <row r="8" spans="1:9">
      <c r="A8" s="160"/>
      <c r="B8" s="161" t="s">
        <v>5840</v>
      </c>
      <c r="C8" s="161"/>
      <c r="D8" s="161">
        <v>1</v>
      </c>
      <c r="E8" s="161" t="s">
        <v>5625</v>
      </c>
      <c r="F8" s="161">
        <v>0</v>
      </c>
      <c r="G8" s="310"/>
      <c r="I8" t="str">
        <f>""""&amp;A8&amp;B8&amp;C8&amp;"-"&amp;D8&amp;""": {
  ""Race"" : """&amp;A8&amp;""",
  ""SubRace"" : """&amp;B8&amp;""",
  ""Specialisation"" : """&amp;C8&amp;""",
  ""Level"" : "&amp;D8&amp;",
  ""Spells"" : ["&amp;E8&amp;"],
  ""BonusLocation"" : "&amp;F8&amp;",
  ""BonusLocationClasses"" : ["&amp;G8&amp;"]
   }"</f>
        <v>"TIEFFLING_BEELZEBUB-1": {
  "Race" : "",
  "SubRace" : "TIEFFLING_BEELZEBUB",
  "Specialisation" : "",
  "Level" : 1,
  "Spells" : ["Thaumaturgie"],
  "BonusLocation" : 0,
  "BonusLocationClasses" : []
   }</v>
      </c>
    </row>
    <row r="9" spans="1:9">
      <c r="A9" s="48"/>
      <c r="B9" s="18" t="s">
        <v>5840</v>
      </c>
      <c r="C9" s="18"/>
      <c r="D9" s="55">
        <v>3</v>
      </c>
      <c r="E9" s="55" t="s">
        <v>5866</v>
      </c>
      <c r="F9" s="55">
        <v>0</v>
      </c>
      <c r="G9" s="100"/>
      <c r="I9" t="str">
        <f t="shared" si="0"/>
        <v>"TIEFFLING_BEELZEBUB-3": {
  "Race" : "",
  "SubRace" : "TIEFFLING_BEELZEBUB",
  "Specialisation" : "",
  "Level" : 3,
  "Spells" : ["Rayon empoisonné"],
  "BonusLocation" : 0,
  "BonusLocationClasses" : []
   }</v>
      </c>
    </row>
    <row r="10" spans="1:9">
      <c r="A10" s="51"/>
      <c r="B10" s="52" t="s">
        <v>5840</v>
      </c>
      <c r="C10" s="52"/>
      <c r="D10" s="52">
        <v>5</v>
      </c>
      <c r="E10" s="52" t="s">
        <v>5867</v>
      </c>
      <c r="F10" s="52">
        <v>0</v>
      </c>
      <c r="G10" s="106"/>
      <c r="I10" t="str">
        <f t="shared" si="0"/>
        <v>"TIEFFLING_BEELZEBUB-5": {
  "Race" : "",
  "SubRace" : "TIEFFLING_BEELZEBUB",
  "Specialisation" : "",
  "Level" : 5,
  "Spells" : ["Couronne du dément"],
  "BonusLocation" : 0,
  "BonusLocationClasses" : []
   }</v>
      </c>
    </row>
    <row r="11" spans="1:9">
      <c r="A11" s="160"/>
      <c r="B11" s="161" t="s">
        <v>5843</v>
      </c>
      <c r="C11" s="161"/>
      <c r="D11" s="161">
        <v>1</v>
      </c>
      <c r="E11" s="161" t="s">
        <v>5625</v>
      </c>
      <c r="F11" s="161">
        <v>0</v>
      </c>
      <c r="G11" s="310"/>
      <c r="I11" t="str">
        <f>""""&amp;A11&amp;B11&amp;C11&amp;"-"&amp;D11&amp;""": {
  ""Race"" : """&amp;A11&amp;""",
  ""SubRace"" : """&amp;B11&amp;""",
  ""Specialisation"" : """&amp;C11&amp;""",
  ""Level"" : "&amp;D11&amp;",
  ""Spells"" : ["&amp;E11&amp;"],
  ""BonusLocation"" : "&amp;F11&amp;",
  ""BonusLocationClasses"" : ["&amp;G11&amp;"]
   }"</f>
        <v>"TIEFFLING_DISPAT-1": {
  "Race" : "",
  "SubRace" : "TIEFFLING_DISPAT",
  "Specialisation" : "",
  "Level" : 1,
  "Spells" : ["Thaumaturgie"],
  "BonusLocation" : 0,
  "BonusLocationClasses" : []
   }</v>
      </c>
    </row>
    <row r="12" spans="1:9">
      <c r="A12" s="48"/>
      <c r="B12" s="18" t="s">
        <v>5843</v>
      </c>
      <c r="C12" s="18"/>
      <c r="D12" s="55">
        <v>3</v>
      </c>
      <c r="E12" s="55" t="s">
        <v>5884</v>
      </c>
      <c r="F12" s="55">
        <v>0</v>
      </c>
      <c r="G12" s="100"/>
      <c r="I12" t="str">
        <f t="shared" ref="I12:I13" si="2">""""&amp;A12&amp;B12&amp;C12&amp;"-"&amp;D12&amp;""": {
  ""Race"" : """&amp;A12&amp;""",
  ""SubRace"" : """&amp;B12&amp;""",
  ""Specialisation"" : """&amp;C12&amp;""",
  ""Level"" : "&amp;D12&amp;",
  ""Spells"" : ["&amp;E12&amp;"],
  ""BonusLocation"" : "&amp;F12&amp;",
  ""BonusLocationClasses"" : ["&amp;G12&amp;"]
   }"</f>
        <v>"TIEFFLING_DISPAT-3": {
  "Race" : "",
  "SubRace" : "TIEFFLING_DISPAT",
  "Specialisation" : "",
  "Level" : 3,
  "Spells" : ["Déguisement"],
  "BonusLocation" : 0,
  "BonusLocationClasses" : []
   }</v>
      </c>
    </row>
    <row r="13" spans="1:9">
      <c r="A13" s="51"/>
      <c r="B13" s="52" t="s">
        <v>5843</v>
      </c>
      <c r="C13" s="52"/>
      <c r="D13" s="52">
        <v>5</v>
      </c>
      <c r="E13" s="52" t="s">
        <v>5885</v>
      </c>
      <c r="F13" s="52">
        <v>0</v>
      </c>
      <c r="G13" s="106"/>
      <c r="I13" t="str">
        <f t="shared" si="2"/>
        <v>"TIEFFLING_DISPAT-5": {
  "Race" : "",
  "SubRace" : "TIEFFLING_DISPAT",
  "Specialisation" : "",
  "Level" : 5,
  "Spells" : ["Invisibilité"],
  "BonusLocation" : 0,
  "BonusLocationClasses" : []
   }</v>
      </c>
    </row>
    <row r="14" spans="1:9">
      <c r="A14" s="160"/>
      <c r="B14" s="161" t="s">
        <v>5846</v>
      </c>
      <c r="C14" s="161"/>
      <c r="D14" s="161">
        <v>1</v>
      </c>
      <c r="E14" s="161" t="s">
        <v>5886</v>
      </c>
      <c r="F14" s="161">
        <v>0</v>
      </c>
      <c r="G14" s="310"/>
      <c r="I14" t="str">
        <f>""""&amp;A14&amp;B14&amp;C14&amp;"-"&amp;D14&amp;""": {
  ""Race"" : """&amp;A14&amp;""",
  ""SubRace"" : """&amp;B14&amp;""",
  ""Specialisation"" : """&amp;C14&amp;""",
  ""Level"" : "&amp;D14&amp;",
  ""Spells"" : ["&amp;E14&amp;"],
  ""BonusLocation"" : "&amp;F14&amp;",
  ""BonusLocationClasses"" : ["&amp;G14&amp;"]
   }"</f>
        <v>"TIEFFLING_FIERNA-1": {
  "Race" : "",
  "SubRace" : "TIEFFLING_FIERNA",
  "Specialisation" : "",
  "Level" : 1,
  "Spells" : ["Amis"],
  "BonusLocation" : 0,
  "BonusLocationClasses" : []
   }</v>
      </c>
    </row>
    <row r="15" spans="1:9">
      <c r="A15" s="48"/>
      <c r="B15" s="18" t="s">
        <v>5846</v>
      </c>
      <c r="C15" s="18"/>
      <c r="D15" s="55">
        <v>3</v>
      </c>
      <c r="E15" s="55" t="s">
        <v>5887</v>
      </c>
      <c r="F15" s="55">
        <v>0</v>
      </c>
      <c r="G15" s="100"/>
      <c r="I15" t="str">
        <f t="shared" ref="I15:I16" si="3">""""&amp;A15&amp;B15&amp;C15&amp;"-"&amp;D15&amp;""": {
  ""Race"" : """&amp;A15&amp;""",
  ""SubRace"" : """&amp;B15&amp;""",
  ""Specialisation"" : """&amp;C15&amp;""",
  ""Level"" : "&amp;D15&amp;",
  ""Spells"" : ["&amp;E15&amp;"],
  ""BonusLocation"" : "&amp;F15&amp;",
  ""BonusLocationClasses"" : ["&amp;G15&amp;"]
   }"</f>
        <v>"TIEFFLING_FIERNA-3": {
  "Race" : "",
  "SubRace" : "TIEFFLING_FIERNA",
  "Specialisation" : "",
  "Level" : 3,
  "Spells" : ["Charme-personne"],
  "BonusLocation" : 0,
  "BonusLocationClasses" : []
   }</v>
      </c>
    </row>
    <row r="16" spans="1:9">
      <c r="A16" s="51"/>
      <c r="B16" s="52" t="s">
        <v>5846</v>
      </c>
      <c r="C16" s="52"/>
      <c r="D16" s="52">
        <v>5</v>
      </c>
      <c r="E16" s="52" t="s">
        <v>5888</v>
      </c>
      <c r="F16" s="52">
        <v>0</v>
      </c>
      <c r="G16" s="106"/>
      <c r="I16" t="str">
        <f t="shared" si="3"/>
        <v>"TIEFFLING_FIERNA-5": {
  "Race" : "",
  "SubRace" : "TIEFFLING_FIERNA",
  "Specialisation" : "",
  "Level" : 5,
  "Spells" : ["Suggestion"],
  "BonusLocation" : 0,
  "BonusLocationClasses" : []
   }</v>
      </c>
    </row>
    <row r="17" spans="1:9">
      <c r="A17" s="160"/>
      <c r="B17" s="161" t="s">
        <v>5849</v>
      </c>
      <c r="C17" s="161"/>
      <c r="D17" s="161">
        <v>1</v>
      </c>
      <c r="E17" s="161" t="s">
        <v>5628</v>
      </c>
      <c r="F17" s="161">
        <v>0</v>
      </c>
      <c r="G17" s="310"/>
      <c r="I17" t="str">
        <f>""""&amp;A17&amp;B17&amp;C17&amp;"-"&amp;D17&amp;""": {
  ""Race"" : """&amp;A17&amp;""",
  ""SubRace"" : """&amp;B17&amp;""",
  ""Specialisation"" : """&amp;C17&amp;""",
  ""Level"" : "&amp;D17&amp;",
  ""Spells"" : ["&amp;E17&amp;"],
  ""BonusLocation"" : "&amp;F17&amp;",
  ""BonusLocationClasses"" : ["&amp;G17&amp;"]
   }"</f>
        <v>"TIEFFLING_GLASYA-1": {
  "Race" : "",
  "SubRace" : "TIEFFLING_GLASYA",
  "Specialisation" : "",
  "Level" : 1,
  "Spells" : ["Illusion mineure"],
  "BonusLocation" : 0,
  "BonusLocationClasses" : []
   }</v>
      </c>
    </row>
    <row r="18" spans="1:9">
      <c r="A18" s="48"/>
      <c r="B18" s="18" t="s">
        <v>5849</v>
      </c>
      <c r="C18" s="18"/>
      <c r="D18" s="55">
        <v>3</v>
      </c>
      <c r="E18" s="55" t="s">
        <v>5884</v>
      </c>
      <c r="F18" s="55">
        <v>0</v>
      </c>
      <c r="G18" s="100"/>
      <c r="I18" t="str">
        <f t="shared" ref="I18:I19" si="4">""""&amp;A18&amp;B18&amp;C18&amp;"-"&amp;D18&amp;""": {
  ""Race"" : """&amp;A18&amp;""",
  ""SubRace"" : """&amp;B18&amp;""",
  ""Specialisation"" : """&amp;C18&amp;""",
  ""Level"" : "&amp;D18&amp;",
  ""Spells"" : ["&amp;E18&amp;"],
  ""BonusLocation"" : "&amp;F18&amp;",
  ""BonusLocationClasses"" : ["&amp;G18&amp;"]
   }"</f>
        <v>"TIEFFLING_GLASYA-3": {
  "Race" : "",
  "SubRace" : "TIEFFLING_GLASYA",
  "Specialisation" : "",
  "Level" : 3,
  "Spells" : ["Déguisement"],
  "BonusLocation" : 0,
  "BonusLocationClasses" : []
   }</v>
      </c>
    </row>
    <row r="19" spans="1:9">
      <c r="A19" s="51"/>
      <c r="B19" s="52" t="s">
        <v>5849</v>
      </c>
      <c r="C19" s="52"/>
      <c r="D19" s="52">
        <v>5</v>
      </c>
      <c r="E19" s="52" t="s">
        <v>5885</v>
      </c>
      <c r="F19" s="52">
        <v>0</v>
      </c>
      <c r="G19" s="106"/>
      <c r="I19" t="str">
        <f t="shared" si="4"/>
        <v>"TIEFFLING_GLASYA-5": {
  "Race" : "",
  "SubRace" : "TIEFFLING_GLASYA",
  "Specialisation" : "",
  "Level" : 5,
  "Spells" : ["Invisibilité"],
  "BonusLocation" : 0,
  "BonusLocationClasses" : []
   }</v>
      </c>
    </row>
    <row r="20" spans="1:9">
      <c r="A20" s="160"/>
      <c r="B20" s="161" t="s">
        <v>5852</v>
      </c>
      <c r="C20" s="161"/>
      <c r="D20" s="161">
        <v>1</v>
      </c>
      <c r="E20" s="161" t="s">
        <v>5890</v>
      </c>
      <c r="F20" s="161">
        <v>0</v>
      </c>
      <c r="G20" s="310"/>
      <c r="I20" t="str">
        <f>""""&amp;A20&amp;B20&amp;C20&amp;"-"&amp;D20&amp;""": {
  ""Race"" : """&amp;A20&amp;""",
  ""SubRace"" : """&amp;B20&amp;""",
  ""Specialisation"" : """&amp;C20&amp;""",
  ""Level"" : "&amp;D20&amp;",
  ""Spells"" : ["&amp;E20&amp;"],
  ""BonusLocation"" : "&amp;F20&amp;",
  ""BonusLocationClasses"" : ["&amp;G20&amp;"]
   }"</f>
        <v>"TIEFFLING_LEVISTUS-1": {
  "Race" : "",
  "SubRace" : "TIEFFLING_LEVISTUS",
  "Specialisation" : "",
  "Level" : 1,
  "Spells" : ["Rayon de froid"],
  "BonusLocation" : 0,
  "BonusLocationClasses" : []
   }</v>
      </c>
    </row>
    <row r="21" spans="1:9">
      <c r="A21" s="48"/>
      <c r="B21" s="18" t="s">
        <v>5852</v>
      </c>
      <c r="C21" s="18"/>
      <c r="D21" s="55">
        <v>3</v>
      </c>
      <c r="E21" s="55" t="s">
        <v>5889</v>
      </c>
      <c r="F21" s="55">
        <v>0</v>
      </c>
      <c r="G21" s="100"/>
      <c r="I21" t="str">
        <f t="shared" ref="I21:I22" si="5">""""&amp;A21&amp;B21&amp;C21&amp;"-"&amp;D21&amp;""": {
  ""Race"" : """&amp;A21&amp;""",
  ""SubRace"" : """&amp;B21&amp;""",
  ""Specialisation"" : """&amp;C21&amp;""",
  ""Level"" : "&amp;D21&amp;",
  ""Spells"" : ["&amp;E21&amp;"],
  ""BonusLocation"" : "&amp;F21&amp;",
  ""BonusLocationClasses"" : ["&amp;G21&amp;"]
   }"</f>
        <v>"TIEFFLING_LEVISTUS-3": {
  "Race" : "",
  "SubRace" : "TIEFFLING_LEVISTUS",
  "Specialisation" : "",
  "Level" : 3,
  "Spells" : ["Armure d‘Agathys"],
  "BonusLocation" : 0,
  "BonusLocationClasses" : []
   }</v>
      </c>
    </row>
    <row r="22" spans="1:9">
      <c r="A22" s="51"/>
      <c r="B22" s="52" t="s">
        <v>5852</v>
      </c>
      <c r="C22" s="52"/>
      <c r="D22" s="52">
        <v>5</v>
      </c>
      <c r="E22" s="52" t="s">
        <v>5627</v>
      </c>
      <c r="F22" s="52">
        <v>0</v>
      </c>
      <c r="G22" s="106"/>
      <c r="I22" t="str">
        <f t="shared" si="5"/>
        <v>"TIEFFLING_LEVISTUS-5": {
  "Race" : "",
  "SubRace" : "TIEFFLING_LEVISTUS",
  "Specialisation" : "",
  "Level" : 5,
  "Spells" : ["Ténèbres"],
  "BonusLocation" : 0,
  "BonusLocationClasses" : []
   }</v>
      </c>
    </row>
    <row r="23" spans="1:9">
      <c r="A23" s="160"/>
      <c r="B23" s="161" t="s">
        <v>5855</v>
      </c>
      <c r="C23" s="161"/>
      <c r="D23" s="161">
        <v>1</v>
      </c>
      <c r="E23" s="161" t="s">
        <v>5891</v>
      </c>
      <c r="F23" s="161">
        <v>0</v>
      </c>
      <c r="G23" s="310"/>
      <c r="I23" t="str">
        <f>""""&amp;A23&amp;B23&amp;C23&amp;"-"&amp;D23&amp;""": {
  ""Race"" : """&amp;A23&amp;""",
  ""SubRace"" : """&amp;B23&amp;""",
  ""Specialisation"" : """&amp;C23&amp;""",
  ""Level"" : "&amp;D23&amp;",
  ""Spells"" : ["&amp;E23&amp;"],
  ""BonusLocation"" : "&amp;F23&amp;",
  ""BonusLocationClasses"" : ["&amp;G23&amp;"]
   }"</f>
        <v>"TIEFFLING_MAMMON-1": {
  "Race" : "",
  "SubRace" : "TIEFFLING_MAMMON",
  "Specialisation" : "",
  "Level" : 1,
  "Spells" : ["Main de mage"],
  "BonusLocation" : 0,
  "BonusLocationClasses" : []
   }</v>
      </c>
    </row>
    <row r="24" spans="1:9">
      <c r="A24" s="48"/>
      <c r="B24" s="18" t="s">
        <v>5855</v>
      </c>
      <c r="C24" s="18"/>
      <c r="D24" s="55">
        <v>3</v>
      </c>
      <c r="E24" s="55" t="s">
        <v>5892</v>
      </c>
      <c r="F24" s="55">
        <v>0</v>
      </c>
      <c r="G24" s="100"/>
      <c r="I24" t="str">
        <f t="shared" ref="I24:I25" si="6">""""&amp;A24&amp;B24&amp;C24&amp;"-"&amp;D24&amp;""": {
  ""Race"" : """&amp;A24&amp;""",
  ""SubRace"" : """&amp;B24&amp;""",
  ""Specialisation"" : """&amp;C24&amp;""",
  ""Level"" : "&amp;D24&amp;",
  ""Spells"" : ["&amp;E24&amp;"],
  ""BonusLocation"" : "&amp;F24&amp;",
  ""BonusLocationClasses"" : ["&amp;G24&amp;"]
   }"</f>
        <v>"TIEFFLING_MAMMON-3": {
  "Race" : "",
  "SubRace" : "TIEFFLING_MAMMON",
  "Specialisation" : "",
  "Level" : 3,
  "Spells" : ["Disque flottant de Tenser"],
  "BonusLocation" : 0,
  "BonusLocationClasses" : []
   }</v>
      </c>
    </row>
    <row r="25" spans="1:9">
      <c r="A25" s="51"/>
      <c r="B25" s="52" t="s">
        <v>5855</v>
      </c>
      <c r="C25" s="52"/>
      <c r="D25" s="52">
        <v>5</v>
      </c>
      <c r="E25" s="52" t="s">
        <v>5893</v>
      </c>
      <c r="F25" s="52">
        <v>0</v>
      </c>
      <c r="G25" s="106"/>
      <c r="I25" t="str">
        <f t="shared" si="6"/>
        <v>"TIEFFLING_MAMMON-5": {
  "Race" : "",
  "SubRace" : "TIEFFLING_MAMMON",
  "Specialisation" : "",
  "Level" : 5,
  "Spells" : ["Verrou magique"],
  "BonusLocation" : 0,
  "BonusLocationClasses" : []
   }</v>
      </c>
    </row>
    <row r="26" spans="1:9">
      <c r="A26" s="160"/>
      <c r="B26" s="161" t="s">
        <v>5858</v>
      </c>
      <c r="C26" s="161"/>
      <c r="D26" s="161">
        <v>1</v>
      </c>
      <c r="E26" s="161" t="s">
        <v>5891</v>
      </c>
      <c r="F26" s="161">
        <v>0</v>
      </c>
      <c r="G26" s="310"/>
      <c r="I26" t="str">
        <f>""""&amp;A26&amp;B26&amp;C26&amp;"-"&amp;D26&amp;""": {
  ""Race"" : """&amp;A26&amp;""",
  ""SubRace"" : """&amp;B26&amp;""",
  ""Specialisation"" : """&amp;C26&amp;""",
  ""Level"" : "&amp;D26&amp;",
  ""Spells"" : ["&amp;E26&amp;"],
  ""BonusLocation"" : "&amp;F26&amp;",
  ""BonusLocationClasses"" : ["&amp;G26&amp;"]
   }"</f>
        <v>"TIEFFLING_MEPHISTOPHELES-1": {
  "Race" : "",
  "SubRace" : "TIEFFLING_MEPHISTOPHELES",
  "Specialisation" : "",
  "Level" : 1,
  "Spells" : ["Main de mage"],
  "BonusLocation" : 0,
  "BonusLocationClasses" : []
   }</v>
      </c>
    </row>
    <row r="27" spans="1:9">
      <c r="A27" s="48"/>
      <c r="B27" s="18" t="s">
        <v>5858</v>
      </c>
      <c r="C27" s="18"/>
      <c r="D27" s="55">
        <v>3</v>
      </c>
      <c r="E27" s="55" t="s">
        <v>5896</v>
      </c>
      <c r="F27" s="55">
        <v>0</v>
      </c>
      <c r="G27" s="100"/>
      <c r="I27" t="str">
        <f t="shared" ref="I27:I28" si="7">""""&amp;A27&amp;B27&amp;C27&amp;"-"&amp;D27&amp;""": {
  ""Race"" : """&amp;A27&amp;""",
  ""SubRace"" : """&amp;B27&amp;""",
  ""Specialisation"" : """&amp;C27&amp;""",
  ""Level"" : "&amp;D27&amp;",
  ""Spells"" : ["&amp;E27&amp;"],
  ""BonusLocation"" : "&amp;F27&amp;",
  ""BonusLocationClasses"" : ["&amp;G27&amp;"]
   }"</f>
        <v>"TIEFFLING_MEPHISTOPHELES-3": {
  "Race" : "",
  "SubRace" : "TIEFFLING_MEPHISTOPHELES",
  "Specialisation" : "",
  "Level" : 3,
  "Spells" : ["Missile magique"],
  "BonusLocation" : 0,
  "BonusLocationClasses" : []
   }</v>
      </c>
    </row>
    <row r="28" spans="1:9">
      <c r="A28" s="51"/>
      <c r="B28" s="52" t="s">
        <v>5858</v>
      </c>
      <c r="C28" s="52"/>
      <c r="D28" s="52">
        <v>5</v>
      </c>
      <c r="E28" s="52" t="s">
        <v>5897</v>
      </c>
      <c r="F28" s="52">
        <v>0</v>
      </c>
      <c r="G28" s="106"/>
      <c r="I28" t="str">
        <f t="shared" si="7"/>
        <v>"TIEFFLING_MEPHISTOPHELES-5": {
  "Race" : "",
  "SubRace" : "TIEFFLING_MEPHISTOPHELES",
  "Specialisation" : "",
  "Level" : 5,
  "Spells" : ["Toile d'araignée"],
  "BonusLocation" : 0,
  "BonusLocationClasses" : []
   }</v>
      </c>
    </row>
    <row r="29" spans="1:9">
      <c r="A29" s="160"/>
      <c r="B29" s="161" t="s">
        <v>5861</v>
      </c>
      <c r="C29" s="161"/>
      <c r="D29" s="161">
        <v>1</v>
      </c>
      <c r="E29" s="161" t="s">
        <v>5625</v>
      </c>
      <c r="F29" s="161">
        <v>0</v>
      </c>
      <c r="G29" s="310"/>
      <c r="I29" t="str">
        <f>""""&amp;A29&amp;B29&amp;C29&amp;"-"&amp;D29&amp;""": {
  ""Race"" : """&amp;A29&amp;""",
  ""SubRace"" : """&amp;B29&amp;""",
  ""Specialisation"" : """&amp;C29&amp;""",
  ""Level"" : "&amp;D29&amp;",
  ""Spells"" : ["&amp;E29&amp;"],
  ""BonusLocation"" : "&amp;F29&amp;",
  ""BonusLocationClasses"" : ["&amp;G29&amp;"]
   }"</f>
        <v>"TIEFFLING_ZARIEL-1": {
  "Race" : "",
  "SubRace" : "TIEFFLING_ZARIEL",
  "Specialisation" : "",
  "Level" : 1,
  "Spells" : ["Thaumaturgie"],
  "BonusLocation" : 0,
  "BonusLocationClasses" : []
   }</v>
      </c>
    </row>
    <row r="30" spans="1:9">
      <c r="A30" s="48"/>
      <c r="B30" s="18" t="s">
        <v>5861</v>
      </c>
      <c r="C30" s="18"/>
      <c r="D30" s="55">
        <v>3</v>
      </c>
      <c r="E30" s="55" t="s">
        <v>5894</v>
      </c>
      <c r="F30" s="55">
        <v>0</v>
      </c>
      <c r="G30" s="100"/>
      <c r="I30" t="str">
        <f t="shared" ref="I30:I31" si="8">""""&amp;A30&amp;B30&amp;C30&amp;"-"&amp;D30&amp;""": {
  ""Race"" : """&amp;A30&amp;""",
  ""SubRace"" : """&amp;B30&amp;""",
  ""Specialisation"" : """&amp;C30&amp;""",
  ""Level"" : "&amp;D30&amp;",
  ""Spells"" : ["&amp;E30&amp;"],
  ""BonusLocation"" : "&amp;F30&amp;",
  ""BonusLocationClasses"" : ["&amp;G30&amp;"]
   }"</f>
        <v>"TIEFFLING_ZARIEL-3": {
  "Race" : "",
  "SubRace" : "TIEFFLING_ZARIEL",
  "Specialisation" : "",
  "Level" : 3,
  "Spells" : ["Châtiment ardent"],
  "BonusLocation" : 0,
  "BonusLocationClasses" : []
   }</v>
      </c>
    </row>
    <row r="31" spans="1:9">
      <c r="A31" s="51"/>
      <c r="B31" s="52" t="s">
        <v>5861</v>
      </c>
      <c r="C31" s="52"/>
      <c r="D31" s="52">
        <v>5</v>
      </c>
      <c r="E31" s="52" t="s">
        <v>5895</v>
      </c>
      <c r="F31" s="52">
        <v>0</v>
      </c>
      <c r="G31" s="106"/>
      <c r="I31" t="str">
        <f t="shared" si="8"/>
        <v>"TIEFFLING_ZARIEL-5": {
  "Race" : "",
  "SubRace" : "TIEFFLING_ZARIEL",
  "Specialisation" : "",
  "Level" : 5,
  "Spells" : ["Châtiment lumineux"],
  "BonusLocation" : 0,
  "BonusLocationClasses" : []
   }</v>
      </c>
    </row>
    <row r="32" spans="1:9">
      <c r="A32" s="311"/>
      <c r="B32" s="312" t="s">
        <v>327</v>
      </c>
      <c r="C32" s="312"/>
      <c r="D32" s="312">
        <v>1</v>
      </c>
      <c r="E32" s="312" t="s">
        <v>5628</v>
      </c>
      <c r="F32" s="312">
        <v>0</v>
      </c>
      <c r="G32" s="313"/>
      <c r="I32" t="str">
        <f t="shared" si="0"/>
        <v>"FORESTS_GNOME-1": {
  "Race" : "",
  "SubRace" : "FORESTS_GNOME",
  "Specialisation" : "",
  "Level" : 1,
  "Spells" : ["Illusion mineure"],
  "BonusLocation" : 0,
  "BonusLocationClasses" : []
   }</v>
      </c>
    </row>
    <row r="33" spans="1:9">
      <c r="A33" s="160"/>
      <c r="B33" s="161"/>
      <c r="C33" s="161" t="s">
        <v>2952</v>
      </c>
      <c r="D33" s="161">
        <v>1</v>
      </c>
      <c r="E33" s="161" t="s">
        <v>5628</v>
      </c>
      <c r="F33" s="161">
        <v>0</v>
      </c>
      <c r="G33" s="310"/>
      <c r="I33" t="str">
        <f t="shared" si="0"/>
        <v>"ILLUSION-1": {
  "Race" : "",
  "SubRace" : "",
  "Specialisation" : "ILLUSION",
  "Level" : 1,
  "Spells" : ["Illusion mineure"],
  "BonusLocation" : 0,
  "BonusLocationClasses" : []
   }</v>
      </c>
    </row>
    <row r="34" spans="1:9">
      <c r="A34" s="48"/>
      <c r="B34" s="18"/>
      <c r="C34" s="18" t="s">
        <v>2855</v>
      </c>
      <c r="D34" s="18">
        <v>1</v>
      </c>
      <c r="E34" s="18" t="s">
        <v>5629</v>
      </c>
      <c r="F34" s="18">
        <v>0</v>
      </c>
      <c r="G34" s="100"/>
      <c r="I34" t="str">
        <f t="shared" si="0"/>
        <v>"LIGHT_FIELD-1": {
  "Race" : "",
  "SubRace" : "",
  "Specialisation" : "LIGHT_FIELD",
  "Level" : 1,
  "Spells" : ["Lumière"],
  "BonusLocation" : 0,
  "BonusLocationClasses" : []
   }</v>
      </c>
    </row>
    <row r="35" spans="1:9">
      <c r="A35" s="51"/>
      <c r="B35" s="52"/>
      <c r="C35" s="52" t="s">
        <v>2889</v>
      </c>
      <c r="D35" s="52">
        <v>1</v>
      </c>
      <c r="E35" s="52" t="s">
        <v>5628</v>
      </c>
      <c r="F35" s="52">
        <v>0</v>
      </c>
      <c r="G35" s="106"/>
      <c r="I35" t="str">
        <f t="shared" si="0"/>
        <v>"SHADOW_WAY-1": {
  "Race" : "",
  "SubRace" : "",
  "Specialisation" : "SHADOW_WAY",
  "Level" : 1,
  "Spells" : ["Illusion mineure"],
  "BonusLocation" : 0,
  "BonusLocationClasses" : []
   }</v>
      </c>
    </row>
    <row r="36" spans="1:9">
      <c r="A36" s="311"/>
      <c r="B36" s="312"/>
      <c r="C36" s="314" t="s">
        <v>2864</v>
      </c>
      <c r="D36" s="314">
        <v>1</v>
      </c>
      <c r="E36" s="312"/>
      <c r="F36" s="312">
        <v>2</v>
      </c>
      <c r="G36" s="313" t="s">
        <v>2926</v>
      </c>
      <c r="I36" t="str">
        <f t="shared" si="0"/>
        <v>"EARTH_GROUP-1": {
  "Race" : "",
  "SubRace" : "",
  "Specialisation" : "EARTH_GROUP",
  "Level" : 1,
  "Spells" : [],
  "BonusLocation" : 2,
  "BonusLocationClasses" : ["DRUID"]
   }</v>
      </c>
    </row>
    <row r="37" spans="1:9">
      <c r="A37" s="311"/>
      <c r="B37" s="312" t="s">
        <v>305</v>
      </c>
      <c r="C37" s="312"/>
      <c r="D37" s="314">
        <v>1</v>
      </c>
      <c r="E37" s="312"/>
      <c r="F37" s="312">
        <v>1</v>
      </c>
      <c r="G37" s="313" t="s">
        <v>5630</v>
      </c>
      <c r="I37" t="str">
        <f t="shared" si="0"/>
        <v>"HIGH_ELF-1": {
  "Race" : "",
  "SubRace" : "HIGH_ELF",
  "Specialisation" : "",
  "Level" : 1,
  "Spells" : [],
  "BonusLocation" : 1,
  "BonusLocationClasses" : ["MAGICIAN"]
   }</v>
      </c>
    </row>
    <row r="38" spans="1:9">
      <c r="A38" s="311"/>
      <c r="B38" s="312"/>
      <c r="C38" s="312" t="s">
        <v>2858</v>
      </c>
      <c r="D38" s="314">
        <v>6</v>
      </c>
      <c r="E38" s="312"/>
      <c r="F38" s="312">
        <v>2</v>
      </c>
      <c r="G38" s="313" t="s">
        <v>5631</v>
      </c>
      <c r="I38" t="str">
        <f t="shared" si="0"/>
        <v>"KNOWLEDGE_SCHOOL-6": {
  "Race" : "",
  "SubRace" : "",
  "Specialisation" : "KNOWLEDGE_SCHOOL",
  "Level" : 6,
  "Spells" : [],
  "BonusLocation" : 2,
  "BonusLocationClasses" : ["BARD", "CLERK", "DRUID", "SORCERER", "WARRIOR", "MAGICIAN", "PALADIN", "PROWLER", "WILY", "WIZARD"]
   }</v>
      </c>
    </row>
    <row r="39" spans="1:9">
      <c r="A39" s="311"/>
      <c r="B39" s="312"/>
      <c r="C39" s="312" t="s">
        <v>2856</v>
      </c>
      <c r="D39" s="314">
        <v>1</v>
      </c>
      <c r="E39" s="312"/>
      <c r="F39" s="312">
        <v>1</v>
      </c>
      <c r="G39" s="313" t="s">
        <v>2926</v>
      </c>
      <c r="I39" t="str">
        <f t="shared" si="0"/>
        <v>"NATURE_FIELD-1": {
  "Race" : "",
  "SubRace" : "",
  "Specialisation" : "NATURE_FIELD",
  "Level" : 1,
  "Spells" : [],
  "BonusLocation" : 1,
  "BonusLocationClasses" : ["DRUID"]
   }</v>
      </c>
    </row>
    <row r="40" spans="1:9">
      <c r="A40" s="160"/>
      <c r="B40" s="161" t="s">
        <v>5810</v>
      </c>
      <c r="C40" s="161"/>
      <c r="D40" s="266">
        <v>1</v>
      </c>
      <c r="E40" s="161"/>
      <c r="F40" s="161">
        <v>1</v>
      </c>
      <c r="G40" s="397" t="s">
        <v>2926</v>
      </c>
      <c r="I40" t="str">
        <f t="shared" si="0"/>
        <v>"GRUGACH-1": {
  "Race" : "",
  "SubRace" : "GRUGACH",
  "Specialisation" : "",
  "Level" : 1,
  "Spells" : [],
  "BonusLocation" : 1,
  "BonusLocationClasses" : ["DRUID"]
   }</v>
      </c>
    </row>
    <row r="41" spans="1:9">
      <c r="A41" s="311"/>
      <c r="B41" s="312"/>
      <c r="C41" s="314" t="s">
        <v>6123</v>
      </c>
      <c r="D41" s="314">
        <v>6</v>
      </c>
      <c r="E41" s="312"/>
      <c r="F41" s="312">
        <v>3</v>
      </c>
      <c r="G41" s="328" t="s">
        <v>5630</v>
      </c>
      <c r="I41" t="str">
        <f t="shared" si="0"/>
        <v>"WU_JEN_ORDER-6": {
  "Race" : "",
  "SubRace" : "",
  "Specialisation" : "WU_JEN_ORDER",
  "Level" : 6,
  "Spells" : [],
  "BonusLocation" : 3,
  "BonusLocationClasses" : ["MAGICIAN"]
   }</v>
      </c>
    </row>
    <row r="43" spans="1:9">
      <c r="G43" s="18"/>
      <c r="I43" t="str">
        <f>CONCATENATE(I2,",
",I3,",
",I4,",
",I5,",
",I6,",
",I7,",
",I8,",
",I9,",
",I10,",
",I11,",
",I12,",
",I13,",
",I14,",
",I15,",
",I16,",
",I17,",
",I18,",
",I19,",
",I20,",
",I21,",
",I22,",
",I23,",
",I24,",
",I25,",
",I26,",
",I27,",
",I28,",
",I29,",
",I30,",
",I31,",
",I32,",
",I33,",
",I34,",
",I35,",
",I36,",
",I37,",
",I38,",
",I39,",
",I40,",
",I41)</f>
        <v>"TIEFFLING_0-1": {
  "Race" : "",
  "SubRace" : "TIEFFLING_0",
  "Specialisation" : "",
  "Level" : 1,
  "Spells" : ["Thaumaturgie"],
  "BonusLocation" : 0,
  "BonusLocationClasses" : []
   },
"TIEFFLING_0-3": {
  "Race" : "",
  "SubRace" : "TIEFFLING_0",
  "Specialisation" : "",
  "Level" : 3,
  "Spells" : ["Représailles infernales"],
  "BonusLocation" : 0,
  "BonusLocationClasses" : []
   },
"TIEFFLING_0-5": {
  "Race" : "",
  "SubRace" : "TIEFFLING_0",
  "Specialisation" : "",
  "Level" : 5,
  "Spells" : ["Ténèbres"],
  "BonusLocation" : 0,
  "BonusLocationClasses" : []
   },
"TIEFFLING_ASMODEUS-1": {
  "Race" : "",
  "SubRace" : "TIEFFLING_ASMODEUS",
  "Specialisation" : "",
  "Level" : 1,
  "Spells" : ["Thaumaturgie"],
  "BonusLocation" : 0,
  "BonusLocationClasses" : []
   },
"TIEFFLING_ASMODEUS-3": {
  "Race" : "",
  "SubRace" : "TIEFFLING_ASMODEUS",
  "Specialisation" : "",
  "Level" : 3,
  "Spells" : ["Représailles infernales"],
  "BonusLocation" : 0,
  "BonusLocationClasses" : []
   },
"TIEFFLING_ASMODEUS-5": {
  "Race" : "",
  "SubRace" : "TIEFFLING_ASMODEUS",
  "Specialisation" : "",
  "Level" : 5,
  "Spells" : ["Ténèbres"],
  "BonusLocation" : 0,
  "BonusLocationClasses" : []
   },
"TIEFFLING_BEELZEBUB-1": {
  "Race" : "",
  "SubRace" : "TIEFFLING_BEELZEBUB",
  "Specialisation" : "",
  "Level" : 1,
  "Spells" : ["Thaumaturgie"],
  "BonusLocation" : 0,
  "BonusLocationClasses" : []
   },
"TIEFFLING_BEELZEBUB-3": {
  "Race" : "",
  "SubRace" : "TIEFFLING_BEELZEBUB",
  "Specialisation" : "",
  "Level" : 3,
  "Spells" : ["Rayon empoisonné"],
  "BonusLocation" : 0,
  "BonusLocationClasses" : []
   },
"TIEFFLING_BEELZEBUB-5": {
  "Race" : "",
  "SubRace" : "TIEFFLING_BEELZEBUB",
  "Specialisation" : "",
  "Level" : 5,
  "Spells" : ["Couronne du dément"],
  "BonusLocation" : 0,
  "BonusLocationClasses" : []
   },
"TIEFFLING_DISPAT-1": {
  "Race" : "",
  "SubRace" : "TIEFFLING_DISPAT",
  "Specialisation" : "",
  "Level" : 1,
  "Spells" : ["Thaumaturgie"],
  "BonusLocation" : 0,
  "BonusLocationClasses" : []
   },
"TIEFFLING_DISPAT-3": {
  "Race" : "",
  "SubRace" : "TIEFFLING_DISPAT",
  "Specialisation" : "",
  "Level" : 3,
  "Spells" : ["Déguisement"],
  "BonusLocation" : 0,
  "BonusLocationClasses" : []
   },
"TIEFFLING_DISPAT-5": {
  "Race" : "",
  "SubRace" : "TIEFFLING_DISPAT",
  "Specialisation" : "",
  "Level" : 5,
  "Spells" : ["Invisibilité"],
  "BonusLocation" : 0,
  "BonusLocationClasses" : []
   },
"TIEFFLING_FIERNA-1": {
  "Race" : "",
  "SubRace" : "TIEFFLING_FIERNA",
  "Specialisation" : "",
  "Level" : 1,
  "Spells" : ["Amis"],
  "BonusLocation" : 0,
  "BonusLocationClasses" : []
   },
"TIEFFLING_FIERNA-3": {
  "Race" : "",
  "SubRace" : "TIEFFLING_FIERNA",
  "Specialisation" : "",
  "Level" : 3,
  "Spells" : ["Charme-personne"],
  "BonusLocation" : 0,
  "BonusLocationClasses" : []
   },
"TIEFFLING_FIERNA-5": {
  "Race" : "",
  "SubRace" : "TIEFFLING_FIERNA",
  "Specialisation" : "",
  "Level" : 5,
  "Spells" : ["Suggestion"],
  "BonusLocation" : 0,
  "BonusLocationClasses" : []
   },
"TIEFFLING_GLASYA-1": {
  "Race" : "",
  "SubRace" : "TIEFFLING_GLASYA",
  "Specialisation" : "",
  "Level" : 1,
  "Spells" : ["Illusion mineure"],
  "BonusLocation" : 0,
  "BonusLocationClasses" : []
   },
"TIEFFLING_GLASYA-3": {
  "Race" : "",
  "SubRace" : "TIEFFLING_GLASYA",
  "Specialisation" : "",
  "Level" : 3,
  "Spells" : ["Déguisement"],
  "BonusLocation" : 0,
  "BonusLocationClasses" : []
   },
"TIEFFLING_GLASYA-5": {
  "Race" : "",
  "SubRace" : "TIEFFLING_GLASYA",
  "Specialisation" : "",
  "Level" : 5,
  "Spells" : ["Invisibilité"],
  "BonusLocation" : 0,
  "BonusLocationClasses" : []
   },
"TIEFFLING_LEVISTUS-1": {
  "Race" : "",
  "SubRace" : "TIEFFLING_LEVISTUS",
  "Specialisation" : "",
  "Level" : 1,
  "Spells" : ["Rayon de froid"],
  "BonusLocation" : 0,
  "BonusLocationClasses" : []
   },
"TIEFFLING_LEVISTUS-3": {
  "Race" : "",
  "SubRace" : "TIEFFLING_LEVISTUS",
  "Specialisation" : "",
  "Level" : 3,
  "Spells" : ["Armure d‘Agathys"],
  "BonusLocation" : 0,
  "BonusLocationClasses" : []
   },
"TIEFFLING_LEVISTUS-5": {
  "Race" : "",
  "SubRace" : "TIEFFLING_LEVISTUS",
  "Specialisation" : "",
  "Level" : 5,
  "Spells" : ["Ténèbres"],
  "BonusLocation" : 0,
  "BonusLocationClasses" : []
   },
"TIEFFLING_MAMMON-1": {
  "Race" : "",
  "SubRace" : "TIEFFLING_MAMMON",
  "Specialisation" : "",
  "Level" : 1,
  "Spells" : ["Main de mage"],
  "BonusLocation" : 0,
  "BonusLocationClasses" : []
   },
"TIEFFLING_MAMMON-3": {
  "Race" : "",
  "SubRace" : "TIEFFLING_MAMMON",
  "Specialisation" : "",
  "Level" : 3,
  "Spells" : ["Disque flottant de Tenser"],
  "BonusLocation" : 0,
  "BonusLocationClasses" : []
   },
"TIEFFLING_MAMMON-5": {
  "Race" : "",
  "SubRace" : "TIEFFLING_MAMMON",
  "Specialisation" : "",
  "Level" : 5,
  "Spells" : ["Verrou magique"],
  "BonusLocation" : 0,
  "BonusLocationClasses" : []
   },
"TIEFFLING_MEPHISTOPHELES-1": {
  "Race" : "",
  "SubRace" : "TIEFFLING_MEPHISTOPHELES",
  "Specialisation" : "",
  "Level" : 1,
  "Spells" : ["Main de mage"],
  "BonusLocation" : 0,
  "BonusLocationClasses" : []
   },
"TIEFFLING_MEPHISTOPHELES-3": {
  "Race" : "",
  "SubRace" : "TIEFFLING_MEPHISTOPHELES",
  "Specialisation" : "",
  "Level" : 3,
  "Spells" : ["Missile magique"],
  "BonusLocation" : 0,
  "BonusLocationClasses" : []
   },
"TIEFFLING_MEPHISTOPHELES-5": {
  "Race" : "",
  "SubRace" : "TIEFFLING_MEPHISTOPHELES",
  "Specialisation" : "",
  "Level" : 5,
  "Spells" : ["Toile d'araignée"],
  "BonusLocation" : 0,
  "BonusLocationClasses" : []
   },
"TIEFFLING_ZARIEL-1": {
  "Race" : "",
  "SubRace" : "TIEFFLING_ZARIEL",
  "Specialisation" : "",
  "Level" : 1,
  "Spells" : ["Thaumaturgie"],
  "BonusLocation" : 0,
  "BonusLocationClasses" : []
   },
"TIEFFLING_ZARIEL-3": {
  "Race" : "",
  "SubRace" : "TIEFFLING_ZARIEL",
  "Specialisation" : "",
  "Level" : 3,
  "Spells" : ["Châtiment ardent"],
  "BonusLocation" : 0,
  "BonusLocationClasses" : []
   },
"TIEFFLING_ZARIEL-5": {
  "Race" : "",
  "SubRace" : "TIEFFLING_ZARIEL",
  "Specialisation" : "",
  "Level" : 5,
  "Spells" : ["Châtiment lumineux"],
  "BonusLocation" : 0,
  "BonusLocationClasses" : []
   },
"FORESTS_GNOME-1": {
  "Race" : "",
  "SubRace" : "FORESTS_GNOME",
  "Specialisation" : "",
  "Level" : 1,
  "Spells" : ["Illusion mineure"],
  "BonusLocation" : 0,
  "BonusLocationClasses" : []
   },
"ILLUSION-1": {
  "Race" : "",
  "SubRace" : "",
  "Specialisation" : "ILLUSION",
  "Level" : 1,
  "Spells" : ["Illusion mineure"],
  "BonusLocation" : 0,
  "BonusLocationClasses" : []
   },
"LIGHT_FIELD-1": {
  "Race" : "",
  "SubRace" : "",
  "Specialisation" : "LIGHT_FIELD",
  "Level" : 1,
  "Spells" : ["Lumière"],
  "BonusLocation" : 0,
  "BonusLocationClasses" : []
   },
"SHADOW_WAY-1": {
  "Race" : "",
  "SubRace" : "",
  "Specialisation" : "SHADOW_WAY",
  "Level" : 1,
  "Spells" : ["Illusion mineure"],
  "BonusLocation" : 0,
  "BonusLocationClasses" : []
   },
"EARTH_GROUP-1": {
  "Race" : "",
  "SubRace" : "",
  "Specialisation" : "EARTH_GROUP",
  "Level" : 1,
  "Spells" : [],
  "BonusLocation" : 2,
  "BonusLocationClasses" : ["DRUID"]
   },
"HIGH_ELF-1": {
  "Race" : "",
  "SubRace" : "HIGH_ELF",
  "Specialisation" : "",
  "Level" : 1,
  "Spells" : [],
  "BonusLocation" : 1,
  "BonusLocationClasses" : ["MAGICIAN"]
   },
"KNOWLEDGE_SCHOOL-6": {
  "Race" : "",
  "SubRace" : "",
  "Specialisation" : "KNOWLEDGE_SCHOOL",
  "Level" : 6,
  "Spells" : [],
  "BonusLocation" : 2,
  "BonusLocationClasses" : ["BARD", "CLERK", "DRUID", "SORCERER", "WARRIOR", "MAGICIAN", "PALADIN", "PROWLER", "WILY", "WIZARD"]
   },
"NATURE_FIELD-1": {
  "Race" : "",
  "SubRace" : "",
  "Specialisation" : "NATURE_FIELD",
  "Level" : 1,
  "Spells" : [],
  "BonusLocation" : 1,
  "BonusLocationClasses" : ["DRUID"]
   },
"GRUGACH-1": {
  "Race" : "",
  "SubRace" : "GRUGACH",
  "Specialisation" : "",
  "Level" : 1,
  "Spells" : [],
  "BonusLocation" : 1,
  "BonusLocationClasses" : ["DRUID"]
   },
"WU_JEN_ORDER-6": {
  "Race" : "",
  "SubRace" : "",
  "Specialisation" : "WU_JEN_ORDER",
  "Level" : 6,
  "Spells" : [],
  "BonusLocation" : 3,
  "BonusLocationClasses" : ["MAGICIAN"]
   }</v>
      </c>
    </row>
    <row r="44" spans="1:9">
      <c r="G44"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5"/>
  <sheetViews>
    <sheetView workbookViewId="0">
      <selection activeCell="A17" sqref="A17"/>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5" width="31" customWidth="1"/>
    <col min="16" max="16" width="16.42578125" customWidth="1"/>
    <col min="17" max="17" width="35.85546875" customWidth="1"/>
  </cols>
  <sheetData>
    <row r="1" spans="1:19">
      <c r="A1" s="45" t="s">
        <v>312</v>
      </c>
      <c r="B1" s="47" t="s">
        <v>3</v>
      </c>
      <c r="C1" s="47" t="s">
        <v>15</v>
      </c>
      <c r="D1" s="47" t="s">
        <v>11</v>
      </c>
      <c r="E1" s="47" t="s">
        <v>10</v>
      </c>
      <c r="F1" s="47" t="s">
        <v>6</v>
      </c>
      <c r="G1" s="47" t="s">
        <v>7</v>
      </c>
      <c r="H1" s="47" t="s">
        <v>8</v>
      </c>
      <c r="I1" s="47" t="s">
        <v>9</v>
      </c>
      <c r="J1" s="47" t="s">
        <v>300</v>
      </c>
      <c r="K1" s="108" t="s">
        <v>1878</v>
      </c>
      <c r="L1" s="108" t="s">
        <v>3993</v>
      </c>
      <c r="M1" s="108" t="s">
        <v>955</v>
      </c>
      <c r="N1" s="108" t="s">
        <v>1036</v>
      </c>
      <c r="O1" s="108" t="s">
        <v>2835</v>
      </c>
      <c r="P1" s="108" t="s">
        <v>2613</v>
      </c>
      <c r="Q1" s="150" t="s">
        <v>2656</v>
      </c>
    </row>
    <row r="2" spans="1:19">
      <c r="A2" s="53" t="s">
        <v>230</v>
      </c>
      <c r="B2" s="26" t="s">
        <v>297</v>
      </c>
      <c r="C2" s="26" t="s">
        <v>252</v>
      </c>
      <c r="D2" s="25">
        <v>0</v>
      </c>
      <c r="E2" s="23">
        <v>0</v>
      </c>
      <c r="F2" s="23">
        <v>2</v>
      </c>
      <c r="G2" s="23">
        <v>0</v>
      </c>
      <c r="H2" s="23">
        <v>0</v>
      </c>
      <c r="I2" s="23">
        <v>0</v>
      </c>
      <c r="J2" s="23">
        <v>9</v>
      </c>
      <c r="K2" s="23" t="s">
        <v>5812</v>
      </c>
      <c r="L2" s="23"/>
      <c r="M2" s="23"/>
      <c r="N2" s="23">
        <v>0</v>
      </c>
      <c r="O2" s="23"/>
      <c r="P2" s="23"/>
      <c r="Q2" s="49" t="s">
        <v>4065</v>
      </c>
      <c r="S2" t="str">
        <f>""""&amp;A2&amp;""": {
 ""Id"" : """&amp;A2&amp;""",
 ""Name"" : """&amp;B2&amp;""",
 ""OV"" : """&amp;C2&amp;""",
 ""Strength"" : "&amp;D2&amp;",
 ""Constitution"" : "&amp;E2&amp;",
 ""Dexterity"" : "&amp;F2&amp;",
 ""Intelligence"" : "&amp;G2&amp;",
 ""Wisdom"" : "&amp;H2&amp;",
 ""Charisma"" : "&amp;I2&amp;",
 ""Speed"" : "&amp;SUBSTITUTE(J2,",",".")&amp;",
 ""Weapons"" : ["&amp;L2&amp;"],
 ""Languages"" : ["&amp;K2&amp;"],
 ""Resistances"" : ["&amp;P2&amp;"],
 ""SaveAdvantages"" : ["&amp;Q2&amp;"],
""ACBonus"": "&amp;N2&amp;",
 "&amp;IF(ISBLANK(O2),"","""ACBonusArmor"" : "&amp;O2&amp;",")&amp;"
""Skills"" : ["&amp;M2&amp;"]
  }"</f>
        <v>"ELF": {
 "Id" : "ELF",
 "Name" : "Elfe",
 "OV" : "Elf",
 "Strength" : 0,
 "Constitution" : 0,
 "Dexterity" : 2,
 "Intelligence" : 0,
 "Wisdom" : 0,
 "Charisma" : 0,
 "Speed" : 9,
 "Weapons" : [],
 "Languages" : ["ELVISH"],
 "Resistances" : [],
 "SaveAdvantages" : ["CHARM"],
"ACBonus": 0,
"Skills" : []
  }</v>
      </c>
    </row>
    <row r="3" spans="1:19">
      <c r="A3" s="48" t="s">
        <v>4</v>
      </c>
      <c r="B3" s="41" t="s">
        <v>253</v>
      </c>
      <c r="C3" s="41" t="s">
        <v>253</v>
      </c>
      <c r="D3" s="24">
        <v>0</v>
      </c>
      <c r="E3" s="22">
        <v>0</v>
      </c>
      <c r="F3" s="22">
        <v>2</v>
      </c>
      <c r="G3" s="22">
        <v>0</v>
      </c>
      <c r="H3" s="22">
        <v>0</v>
      </c>
      <c r="I3" s="22">
        <v>0</v>
      </c>
      <c r="J3" s="22">
        <v>7.5</v>
      </c>
      <c r="K3" s="22" t="s">
        <v>2675</v>
      </c>
      <c r="L3" s="22"/>
      <c r="M3" s="22"/>
      <c r="N3" s="22">
        <v>0</v>
      </c>
      <c r="O3" s="22"/>
      <c r="P3" s="22"/>
      <c r="Q3" s="50" t="s">
        <v>2694</v>
      </c>
      <c r="S3" t="str">
        <f t="shared" ref="S3:S22" si="0">""""&amp;A3&amp;""": {
 ""Id"" : """&amp;A3&amp;""",
 ""Name"" : """&amp;B3&amp;""",
 ""OV"" : """&amp;C3&amp;""",
 ""Strength"" : "&amp;D3&amp;",
 ""Constitution"" : "&amp;E3&amp;",
 ""Dexterity"" : "&amp;F3&amp;",
 ""Intelligence"" : "&amp;G3&amp;",
 ""Wisdom"" : "&amp;H3&amp;",
 ""Charisma"" : "&amp;I3&amp;",
 ""Speed"" : "&amp;SUBSTITUTE(J3,",",".")&amp;",
 ""Weapons"" : ["&amp;L3&amp;"],
 ""Languages"" : ["&amp;K3&amp;"],
 ""Resistances"" : ["&amp;P3&amp;"],
 ""SaveAdvantages"" : ["&amp;Q3&amp;"],
""ACBonus"": "&amp;N3&amp;",
 "&amp;IF(ISBLANK(O3),"","""ACBonusArmor"" : "&amp;O3&amp;",")&amp;"
""Skills"" : ["&amp;M3&amp;"]
  }"</f>
        <v>"HALFELIN": {
 "Id" : "HALFELIN",
 "Name" : "Halfelin",
 "OV" : "Halfelin",
 "Strength" : 0,
 "Constitution" : 0,
 "Dexterity" : 2,
 "Intelligence" : 0,
 "Wisdom" : 0,
 "Charisma" : 0,
 "Speed" : 7.5,
 "Weapons" : [],
 "Languages" : ["COMMON", "HALFELIN"],
 "Resistances" : [],
 "SaveAdvantages" : ["FEAR"],
"ACBonus": 0,
"Skills" : []
  }</v>
      </c>
    </row>
    <row r="4" spans="1:19">
      <c r="A4" s="53" t="s">
        <v>231</v>
      </c>
      <c r="B4" s="26" t="s">
        <v>265</v>
      </c>
      <c r="C4" s="26" t="s">
        <v>254</v>
      </c>
      <c r="D4" s="25">
        <v>1</v>
      </c>
      <c r="E4" s="23">
        <v>1</v>
      </c>
      <c r="F4" s="23">
        <v>1</v>
      </c>
      <c r="G4" s="23">
        <v>1</v>
      </c>
      <c r="H4" s="23">
        <v>1</v>
      </c>
      <c r="I4" s="23">
        <v>1</v>
      </c>
      <c r="J4" s="23">
        <v>9</v>
      </c>
      <c r="K4" s="23" t="s">
        <v>2665</v>
      </c>
      <c r="L4" s="23"/>
      <c r="M4" s="23"/>
      <c r="N4" s="23">
        <v>0</v>
      </c>
      <c r="O4" s="23"/>
      <c r="P4" s="23"/>
      <c r="Q4" s="49"/>
      <c r="S4" t="str">
        <f>""""&amp;A4&amp;""": {
 ""Id"" : """&amp;A4&amp;""",
 ""Name"" : """&amp;B4&amp;""",
 ""OV"" : """&amp;C4&amp;""",
 ""Strength"" : "&amp;D4&amp;",
 ""Constitution"" : "&amp;E4&amp;",
 ""Dexterity"" : "&amp;F4&amp;",
 ""Intelligence"" : "&amp;G4&amp;",
 ""Wisdom"" : "&amp;H4&amp;",
 ""Charisma"" : "&amp;I4&amp;",
 ""Speed"" : "&amp;SUBSTITUTE(J4,",",".")&amp;",
 ""Weapons"" : ["&amp;L4&amp;"],
 ""Languages"" : ["&amp;K4&amp;"],
 ""Resistances"" : ["&amp;P4&amp;"],
 ""SaveAdvantages"" : ["&amp;Q4&amp;"],
""ACBonus"": "&amp;N4&amp;",
 "&amp;IF(ISBLANK(O4),"","""ACBonusArmor"" : "&amp;O4&amp;",")&amp;"
""Skills"" : ["&amp;M4&amp;"]
  }"</f>
        <v>"HUMAN": {
 "Id" : "HUMAN",
 "Name" : "Humain",
 "OV" : "Human",
 "Strength" : 1,
 "Constitution" : 1,
 "Dexterity" : 1,
 "Intelligence" : 1,
 "Wisdom" : 1,
 "Charisma" : 1,
 "Speed" : 9,
 "Weapons" : [],
 "Languages" : ["COMMON"],
 "Resistances" : [],
 "SaveAdvantages" : [],
"ACBonus": 0,
"Skills" : []
  }</v>
      </c>
    </row>
    <row r="5" spans="1:19">
      <c r="A5" s="48" t="s">
        <v>232</v>
      </c>
      <c r="B5" s="41" t="s">
        <v>266</v>
      </c>
      <c r="C5" s="41" t="s">
        <v>255</v>
      </c>
      <c r="D5" s="24">
        <v>0</v>
      </c>
      <c r="E5" s="22">
        <v>2</v>
      </c>
      <c r="F5" s="22">
        <v>0</v>
      </c>
      <c r="G5" s="22">
        <v>0</v>
      </c>
      <c r="H5" s="22">
        <v>0</v>
      </c>
      <c r="I5" s="22">
        <v>0</v>
      </c>
      <c r="J5" s="22">
        <v>7.5</v>
      </c>
      <c r="K5" s="22" t="s">
        <v>2674</v>
      </c>
      <c r="L5" s="22" t="s">
        <v>4011</v>
      </c>
      <c r="M5" s="22"/>
      <c r="N5" s="22">
        <v>0</v>
      </c>
      <c r="O5" s="22"/>
      <c r="P5" s="22" t="s">
        <v>2693</v>
      </c>
      <c r="Q5" s="50" t="s">
        <v>2693</v>
      </c>
      <c r="S5" t="str">
        <f t="shared" si="0"/>
        <v>"DWARF": {
 "Id" : "DWARF",
 "Name" : "Nain",
 "OV" : "Dwarf",
 "Strength" : 0,
 "Constitution" : 2,
 "Dexterity" : 0,
 "Intelligence" : 0,
 "Wisdom" : 0,
 "Charisma" : 0,
 "Speed" : 7.5,
 "Weapons" : ["Hachette", "Hache d'armes", "Marteau léger", "Marteau de guerre"],
 "Languages" : ["DWARF"],
 "Resistances" : ["POISON"],
 "SaveAdvantages" : ["POISON"],
"ACBonus": 0,
"Skills" : []
  }</v>
      </c>
    </row>
    <row r="6" spans="1:19">
      <c r="A6" s="53" t="s">
        <v>233</v>
      </c>
      <c r="B6" s="26" t="s">
        <v>267</v>
      </c>
      <c r="C6" s="26" t="s">
        <v>256</v>
      </c>
      <c r="D6" s="25">
        <v>0</v>
      </c>
      <c r="E6" s="23">
        <v>0</v>
      </c>
      <c r="F6" s="23">
        <v>0</v>
      </c>
      <c r="G6" s="23">
        <v>0</v>
      </c>
      <c r="H6" s="23">
        <v>0</v>
      </c>
      <c r="I6" s="23">
        <v>2</v>
      </c>
      <c r="J6" s="23">
        <v>9</v>
      </c>
      <c r="K6" s="23" t="s">
        <v>2673</v>
      </c>
      <c r="L6" s="23"/>
      <c r="M6" s="23"/>
      <c r="N6" s="23">
        <v>0</v>
      </c>
      <c r="O6" s="23"/>
      <c r="P6" s="23"/>
      <c r="Q6" s="49"/>
      <c r="S6" t="str">
        <f t="shared" si="0"/>
        <v>"HALF_ELF": {
 "Id" : "HALF_ELF",
 "Name" : "Demi-Elfe",
 "OV" : "Half-Elf",
 "Strength" : 0,
 "Constitution" : 0,
 "Dexterity" : 0,
 "Intelligence" : 0,
 "Wisdom" : 0,
 "Charisma" : 2,
 "Speed" : 9,
 "Weapons" : [],
 "Languages" : ["COMMON", "ELVISH"],
 "Resistances" : [],
 "SaveAdvantages" : [],
"ACBonus": 0,
"Skills" : []
  }</v>
      </c>
    </row>
    <row r="7" spans="1:19">
      <c r="A7" s="48" t="s">
        <v>234</v>
      </c>
      <c r="B7" s="41" t="s">
        <v>268</v>
      </c>
      <c r="C7" s="41" t="s">
        <v>257</v>
      </c>
      <c r="D7" s="24">
        <v>2</v>
      </c>
      <c r="E7" s="22">
        <v>1</v>
      </c>
      <c r="F7" s="22">
        <v>0</v>
      </c>
      <c r="G7" s="22">
        <v>0</v>
      </c>
      <c r="H7" s="22">
        <v>0</v>
      </c>
      <c r="I7" s="22">
        <v>0</v>
      </c>
      <c r="J7" s="22">
        <v>9</v>
      </c>
      <c r="K7" s="22" t="s">
        <v>2672</v>
      </c>
      <c r="L7" s="22"/>
      <c r="M7" s="22"/>
      <c r="N7" s="22">
        <v>0</v>
      </c>
      <c r="O7" s="22"/>
      <c r="P7" s="22"/>
      <c r="Q7" s="50"/>
      <c r="S7" t="str">
        <f t="shared" si="0"/>
        <v>"HALF_ORC": {
 "Id" : "HALF_ORC",
 "Name" : "Demi-Orque",
 "OV" : "Half-Orc",
 "Strength" : 2,
 "Constitution" : 1,
 "Dexterity" : 0,
 "Intelligence" : 0,
 "Wisdom" : 0,
 "Charisma" : 0,
 "Speed" : 9,
 "Weapons" : [],
 "Languages" : ["COMMON", "ORC"],
 "Resistances" : [],
 "SaveAdvantages" : [],
"ACBonus": 0,
"Skills" : []
  }</v>
      </c>
    </row>
    <row r="8" spans="1:19">
      <c r="A8" s="53" t="s">
        <v>235</v>
      </c>
      <c r="B8" s="26" t="s">
        <v>269</v>
      </c>
      <c r="C8" s="26" t="s">
        <v>258</v>
      </c>
      <c r="D8" s="25">
        <v>2</v>
      </c>
      <c r="E8" s="23">
        <v>0</v>
      </c>
      <c r="F8" s="23">
        <v>0</v>
      </c>
      <c r="G8" s="23">
        <v>0</v>
      </c>
      <c r="H8" s="23">
        <v>0</v>
      </c>
      <c r="I8" s="23">
        <v>1</v>
      </c>
      <c r="J8" s="23">
        <v>9</v>
      </c>
      <c r="K8" s="23" t="s">
        <v>2671</v>
      </c>
      <c r="L8" s="23"/>
      <c r="M8" s="23"/>
      <c r="N8" s="23">
        <v>0</v>
      </c>
      <c r="O8" s="23"/>
      <c r="P8" s="23"/>
      <c r="Q8" s="49"/>
      <c r="S8" t="str">
        <f t="shared" si="0"/>
        <v>"DRAGON_BORN": {
 "Id" : "DRAGON_BORN",
 "Name" : "Drakéide",
 "OV" : "Dragon Born",
 "Strength" : 2,
 "Constitution" : 0,
 "Dexterity" : 0,
 "Intelligence" : 0,
 "Wisdom" : 0,
 "Charisma" : 1,
 "Speed" : 9,
 "Weapons" : [],
 "Languages" : ["COMMON", "DRACONIC"],
 "Resistances" : [],
 "SaveAdvantages" : [],
"ACBonus": 0,
"Skills" : []
  }</v>
      </c>
    </row>
    <row r="9" spans="1:19">
      <c r="A9" s="48" t="s">
        <v>5</v>
      </c>
      <c r="B9" s="41" t="s">
        <v>259</v>
      </c>
      <c r="C9" s="41" t="s">
        <v>259</v>
      </c>
      <c r="D9" s="24">
        <v>0</v>
      </c>
      <c r="E9" s="22">
        <v>0</v>
      </c>
      <c r="F9" s="22">
        <v>0</v>
      </c>
      <c r="G9" s="22">
        <v>2</v>
      </c>
      <c r="H9" s="22">
        <v>0</v>
      </c>
      <c r="I9" s="22">
        <v>0</v>
      </c>
      <c r="J9" s="22">
        <v>7.5</v>
      </c>
      <c r="K9" s="22" t="s">
        <v>2670</v>
      </c>
      <c r="L9" s="22"/>
      <c r="M9" s="22"/>
      <c r="N9" s="22">
        <v>0</v>
      </c>
      <c r="O9" s="22"/>
      <c r="P9" s="22"/>
      <c r="Q9" s="50" t="s">
        <v>2695</v>
      </c>
      <c r="S9" t="str">
        <f t="shared" si="0"/>
        <v>"GNOME": {
 "Id" : "GNOME",
 "Name" : "Gnome",
 "OV" : "Gnome",
 "Strength" : 0,
 "Constitution" : 0,
 "Dexterity" : 0,
 "Intelligence" : 2,
 "Wisdom" : 0,
 "Charisma" : 0,
 "Speed" : 7.5,
 "Weapons" : [],
 "Languages" : ["COMMON", "GNOME"],
 "Resistances" : [],
 "SaveAdvantages" : ["INT", "SAG", "CHA"],
"ACBonus": 0,
"Skills" : []
  }</v>
      </c>
    </row>
    <row r="10" spans="1:19">
      <c r="A10" s="53" t="s">
        <v>236</v>
      </c>
      <c r="B10" s="26" t="s">
        <v>270</v>
      </c>
      <c r="C10" s="26" t="s">
        <v>260</v>
      </c>
      <c r="D10" s="25">
        <v>0</v>
      </c>
      <c r="E10" s="23">
        <v>0</v>
      </c>
      <c r="F10" s="23">
        <v>0</v>
      </c>
      <c r="G10" s="23">
        <v>0</v>
      </c>
      <c r="H10" s="23">
        <v>0</v>
      </c>
      <c r="I10" s="23">
        <v>0</v>
      </c>
      <c r="J10" s="23">
        <v>9</v>
      </c>
      <c r="K10" s="23" t="s">
        <v>2669</v>
      </c>
      <c r="L10" s="23"/>
      <c r="M10" s="23"/>
      <c r="N10" s="23">
        <v>0</v>
      </c>
      <c r="O10" s="23"/>
      <c r="P10" s="23"/>
      <c r="Q10" s="49"/>
      <c r="S10" t="str">
        <f t="shared" si="0"/>
        <v>"TIEFFLING": {
 "Id" : "TIEFFLING",
 "Name" : "Tieffelin",
 "OV" : "Tieffling",
 "Strength" : 0,
 "Constitution" : 0,
 "Dexterity" : 0,
 "Intelligence" : 0,
 "Wisdom" : 0,
 "Charisma" : 0,
 "Speed" : 9,
 "Weapons" : [],
 "Languages" : ["COMMON", "INFERNAL"],
 "Resistances" : [],
 "SaveAdvantages" : [],
"ACBonus": 0,
"Skills" : []
  }</v>
      </c>
    </row>
    <row r="11" spans="1:19">
      <c r="A11" s="48" t="s">
        <v>237</v>
      </c>
      <c r="B11" s="41" t="s">
        <v>271</v>
      </c>
      <c r="C11" s="41" t="s">
        <v>261</v>
      </c>
      <c r="D11" s="24">
        <v>0</v>
      </c>
      <c r="E11" s="22">
        <v>0</v>
      </c>
      <c r="F11" s="22">
        <v>2</v>
      </c>
      <c r="G11" s="22">
        <v>0</v>
      </c>
      <c r="H11" s="22">
        <v>1</v>
      </c>
      <c r="I11" s="22">
        <v>0</v>
      </c>
      <c r="J11" s="22">
        <v>7.5</v>
      </c>
      <c r="K11" s="22" t="s">
        <v>2666</v>
      </c>
      <c r="L11" s="22"/>
      <c r="M11" s="22"/>
      <c r="N11" s="22">
        <v>0</v>
      </c>
      <c r="O11" s="22"/>
      <c r="P11" s="22"/>
      <c r="Q11" s="50"/>
      <c r="S11" t="str">
        <f t="shared" si="0"/>
        <v>"AARAKOCRA": {
 "Id" : "AARAKOCRA",
 "Name" : "Aarakocra *",
 "OV" : "Aarakocra",
 "Strength" : 0,
 "Constitution" : 0,
 "Dexterity" : 2,
 "Intelligence" : 0,
 "Wisdom" : 1,
 "Charisma" : 0,
 "Speed" : 7.5,
 "Weapons" : [],
 "Languages" : ["COMMON", "AARAKOCRA", "AIR"],
 "Resistances" : [],
 "SaveAdvantages" : [],
"ACBonus": 0,
"Skills" : []
  }</v>
      </c>
    </row>
    <row r="12" spans="1:19">
      <c r="A12" s="53" t="s">
        <v>238</v>
      </c>
      <c r="B12" s="26" t="s">
        <v>272</v>
      </c>
      <c r="C12" s="26" t="s">
        <v>262</v>
      </c>
      <c r="D12" s="25">
        <v>0</v>
      </c>
      <c r="E12" s="23">
        <v>2</v>
      </c>
      <c r="F12" s="23">
        <v>0</v>
      </c>
      <c r="G12" s="23">
        <v>0</v>
      </c>
      <c r="H12" s="23">
        <v>0</v>
      </c>
      <c r="I12" s="23">
        <v>0</v>
      </c>
      <c r="J12" s="23">
        <v>9</v>
      </c>
      <c r="K12" s="23" t="s">
        <v>2668</v>
      </c>
      <c r="L12" s="23"/>
      <c r="M12" s="23"/>
      <c r="N12" s="23">
        <v>0</v>
      </c>
      <c r="O12" s="23"/>
      <c r="P12" s="23"/>
      <c r="Q12" s="49"/>
      <c r="S12" t="str">
        <f t="shared" si="0"/>
        <v>"GENASI": {
 "Id" : "GENASI",
 "Name" : "Génasi *",
 "OV" : "Genasi",
 "Strength" : 0,
 "Constitution" : 2,
 "Dexterity" : 0,
 "Intelligence" : 0,
 "Wisdom" : 0,
 "Charisma" : 0,
 "Speed" : 9,
 "Weapons" : [],
 "Languages" : ["COMMON", "PRIMARY"],
 "Resistances" : [],
 "SaveAdvantages" : [],
"ACBonus": 0,
"Skills" : []
  }</v>
      </c>
    </row>
    <row r="13" spans="1:19">
      <c r="A13" s="75" t="s">
        <v>240</v>
      </c>
      <c r="B13" s="56" t="s">
        <v>274</v>
      </c>
      <c r="C13" s="56" t="s">
        <v>264</v>
      </c>
      <c r="D13" s="57">
        <v>2</v>
      </c>
      <c r="E13" s="58">
        <v>1</v>
      </c>
      <c r="F13" s="58">
        <v>0</v>
      </c>
      <c r="G13" s="58">
        <v>0</v>
      </c>
      <c r="H13" s="58">
        <v>0</v>
      </c>
      <c r="I13" s="58">
        <v>0</v>
      </c>
      <c r="J13" s="58">
        <v>9</v>
      </c>
      <c r="K13" s="58" t="s">
        <v>2667</v>
      </c>
      <c r="L13" s="58"/>
      <c r="M13" s="58"/>
      <c r="N13" s="58">
        <v>0</v>
      </c>
      <c r="O13" s="58"/>
      <c r="P13" s="58"/>
      <c r="Q13" s="320"/>
      <c r="S13" t="str">
        <f t="shared" si="0"/>
        <v>"GOLIATH": {
 "Id" : "GOLIATH",
 "Name" : "Goliath *",
 "OV" : "Goliath",
 "Strength" : 2,
 "Constitution" : 1,
 "Dexterity" : 0,
 "Intelligence" : 0,
 "Wisdom" : 0,
 "Charisma" : 0,
 "Speed" : 9,
 "Weapons" : [],
 "Languages" : ["COMMON", "GIANT"],
 "Resistances" : [],
 "SaveAdvantages" : [],
"ACBonus": 0,
"Skills" : []
  }</v>
      </c>
    </row>
    <row r="14" spans="1:19">
      <c r="A14" s="53" t="s">
        <v>5687</v>
      </c>
      <c r="B14" s="26" t="s">
        <v>4918</v>
      </c>
      <c r="C14" s="26" t="s">
        <v>4918</v>
      </c>
      <c r="D14" s="63">
        <v>0</v>
      </c>
      <c r="E14" s="64">
        <v>0</v>
      </c>
      <c r="F14" s="64">
        <v>0</v>
      </c>
      <c r="G14" s="64">
        <v>0</v>
      </c>
      <c r="H14" s="64">
        <v>1</v>
      </c>
      <c r="I14" s="64">
        <v>1</v>
      </c>
      <c r="J14" s="64">
        <v>9</v>
      </c>
      <c r="K14" s="64" t="s">
        <v>5735</v>
      </c>
      <c r="L14" s="64"/>
      <c r="M14" s="64"/>
      <c r="N14" s="64">
        <v>0</v>
      </c>
      <c r="O14" s="64"/>
      <c r="P14" s="64"/>
      <c r="Q14" s="322"/>
      <c r="S14" t="str">
        <f t="shared" si="0"/>
        <v>"KALASHTAR": {
 "Id" : "KALASHTAR",
 "Name" : "Kalashtar",
 "OV" : "Kalashtar",
 "Strength" : 0,
 "Constitution" : 0,
 "Dexterity" : 0,
 "Intelligence" : 0,
 "Wisdom" : 1,
 "Charisma" : 1,
 "Speed" : 9,
 "Weapons" : [],
 "Languages" : ["COMMON", "QUORIAN"],
 "Resistances" : [],
 "SaveAdvantages" : [],
"ACBonus": 0,
"Skills" : []
  }</v>
      </c>
    </row>
    <row r="15" spans="1:19">
      <c r="A15" s="75" t="s">
        <v>5673</v>
      </c>
      <c r="B15" s="56" t="s">
        <v>4674</v>
      </c>
      <c r="C15" s="56" t="s">
        <v>5738</v>
      </c>
      <c r="D15" s="57">
        <v>0</v>
      </c>
      <c r="E15" s="58">
        <v>0</v>
      </c>
      <c r="F15" s="58">
        <v>1</v>
      </c>
      <c r="G15" s="58">
        <v>0</v>
      </c>
      <c r="H15" s="58">
        <v>0</v>
      </c>
      <c r="I15" s="58">
        <v>0</v>
      </c>
      <c r="J15" s="58">
        <v>9</v>
      </c>
      <c r="K15" s="58" t="s">
        <v>2665</v>
      </c>
      <c r="L15" s="58"/>
      <c r="M15" s="58" t="s">
        <v>5739</v>
      </c>
      <c r="N15" s="58">
        <v>0</v>
      </c>
      <c r="O15" s="58"/>
      <c r="P15" s="58"/>
      <c r="Q15" s="320"/>
      <c r="S15" t="str">
        <f t="shared" si="0"/>
        <v>"FERAL": {
 "Id" : "FERAL",
 "Name" : "Féral",
 "OV" : "Feral",
 "Strength" : 0,
 "Constitution" : 0,
 "Dexterity" : 1,
 "Intelligence" : 0,
 "Wisdom" : 0,
 "Charisma" : 0,
 "Speed" : 9,
 "Weapons" : [],
 "Languages" : ["COMMON"],
 "Resistances" : [],
 "SaveAdvantages" : [],
"ACBonus": 0,
"Skills" : ["Perception"]
  }</v>
      </c>
    </row>
    <row r="16" spans="1:19">
      <c r="A16" s="53" t="s">
        <v>5740</v>
      </c>
      <c r="B16" s="26" t="s">
        <v>5660</v>
      </c>
      <c r="C16" s="26" t="s">
        <v>5741</v>
      </c>
      <c r="D16" s="63">
        <v>0</v>
      </c>
      <c r="E16" s="64">
        <v>2</v>
      </c>
      <c r="F16" s="64">
        <v>0</v>
      </c>
      <c r="G16" s="64">
        <v>0</v>
      </c>
      <c r="H16" s="64">
        <v>0</v>
      </c>
      <c r="I16" s="64">
        <v>0</v>
      </c>
      <c r="J16" s="64">
        <v>9</v>
      </c>
      <c r="K16" s="64" t="s">
        <v>2665</v>
      </c>
      <c r="L16" s="64"/>
      <c r="M16" s="64"/>
      <c r="N16" s="64">
        <v>1</v>
      </c>
      <c r="O16" s="64"/>
      <c r="P16" s="64" t="s">
        <v>2693</v>
      </c>
      <c r="Q16" s="322" t="s">
        <v>2693</v>
      </c>
      <c r="S16" t="str">
        <f t="shared" si="0"/>
        <v>"WARFORGED": {
 "Id" : "WARFORGED",
 "Name" : "Forgelier",
 "OV" : "Warforged",
 "Strength" : 0,
 "Constitution" : 2,
 "Dexterity" : 0,
 "Intelligence" : 0,
 "Wisdom" : 0,
 "Charisma" : 0,
 "Speed" : 9,
 "Weapons" : [],
 "Languages" : ["COMMON"],
 "Resistances" : ["POISON"],
 "SaveAdvantages" : ["POISON"],
"ACBonus": 1,
"Skills" : []
  }</v>
      </c>
    </row>
    <row r="17" spans="1:19">
      <c r="A17" s="75" t="s">
        <v>5771</v>
      </c>
      <c r="B17" s="56" t="s">
        <v>5772</v>
      </c>
      <c r="C17" s="56" t="s">
        <v>5772</v>
      </c>
      <c r="D17" s="57">
        <v>0</v>
      </c>
      <c r="E17" s="58">
        <v>2</v>
      </c>
      <c r="F17" s="58">
        <v>0</v>
      </c>
      <c r="G17" s="58">
        <v>0</v>
      </c>
      <c r="H17" s="58">
        <v>1</v>
      </c>
      <c r="I17" s="58">
        <v>0</v>
      </c>
      <c r="J17" s="58">
        <v>9</v>
      </c>
      <c r="K17" s="58" t="s">
        <v>2665</v>
      </c>
      <c r="L17" s="58"/>
      <c r="M17" s="58"/>
      <c r="N17" s="58">
        <v>3</v>
      </c>
      <c r="O17" s="58" t="s">
        <v>2808</v>
      </c>
      <c r="P17" s="22"/>
      <c r="Q17" s="50" t="s">
        <v>2694</v>
      </c>
      <c r="S17" t="str">
        <f t="shared" si="0"/>
        <v>"LOXODON": {
 "Id" : "LOXODON",
 "Name" : "Loxodon",
 "OV" : "Loxodon",
 "Strength" : 0,
 "Constitution" : 2,
 "Dexterity" : 0,
 "Intelligence" : 0,
 "Wisdom" : 1,
 "Charisma" : 0,
 "Speed" : 9,
 "Weapons" : [],
 "Languages" : ["COMMON"],
 "Resistances" : [],
 "SaveAdvantages" : ["FEAR"],
"ACBonus": 3,
 "ACBonusArmor" : false,
"Skills" : []
  }</v>
      </c>
    </row>
    <row r="18" spans="1:19">
      <c r="A18" s="53" t="s">
        <v>5782</v>
      </c>
      <c r="B18" s="26" t="s">
        <v>5783</v>
      </c>
      <c r="C18" s="26" t="s">
        <v>5783</v>
      </c>
      <c r="D18" s="63">
        <v>0</v>
      </c>
      <c r="E18" s="64">
        <v>2</v>
      </c>
      <c r="F18" s="64">
        <v>0</v>
      </c>
      <c r="G18" s="64">
        <v>0</v>
      </c>
      <c r="H18" s="64">
        <v>0</v>
      </c>
      <c r="I18" s="64">
        <v>0</v>
      </c>
      <c r="J18" s="64">
        <v>9</v>
      </c>
      <c r="K18" s="64" t="s">
        <v>2673</v>
      </c>
      <c r="L18" s="64"/>
      <c r="M18" s="64"/>
      <c r="N18" s="64">
        <v>0</v>
      </c>
      <c r="O18" s="64"/>
      <c r="P18" s="64"/>
      <c r="Q18" s="322"/>
      <c r="S18" t="str">
        <f t="shared" si="0"/>
        <v>"SIMIC": {
 "Id" : "SIMIC",
 "Name" : "Simic",
 "OV" : "Simic",
 "Strength" : 0,
 "Constitution" : 2,
 "Dexterity" : 0,
 "Intelligence" : 0,
 "Wisdom" : 0,
 "Charisma" : 0,
 "Speed" : 9,
 "Weapons" : [],
 "Languages" : ["COMMON", "ELVISH"],
 "Resistances" : [],
 "SaveAdvantages" : [],
"ACBonus": 0,
"Skills" : []
  }</v>
      </c>
    </row>
    <row r="19" spans="1:19">
      <c r="A19" s="75" t="s">
        <v>5788</v>
      </c>
      <c r="B19" s="56" t="s">
        <v>5787</v>
      </c>
      <c r="C19" s="56" t="s">
        <v>5787</v>
      </c>
      <c r="D19" s="57">
        <v>0</v>
      </c>
      <c r="E19" s="58">
        <v>0</v>
      </c>
      <c r="F19" s="58">
        <v>0</v>
      </c>
      <c r="G19" s="58">
        <v>2</v>
      </c>
      <c r="H19" s="58">
        <v>1</v>
      </c>
      <c r="I19" s="58">
        <v>0</v>
      </c>
      <c r="J19" s="58">
        <v>9</v>
      </c>
      <c r="K19" s="58" t="s">
        <v>2665</v>
      </c>
      <c r="L19" s="58"/>
      <c r="M19" s="58"/>
      <c r="N19" s="58">
        <v>0</v>
      </c>
      <c r="O19" s="58"/>
      <c r="P19" s="22"/>
      <c r="Q19" s="50" t="s">
        <v>2695</v>
      </c>
      <c r="S19" t="str">
        <f t="shared" si="0"/>
        <v>"VEDALKEN": {
 "Id" : "VEDALKEN",
 "Name" : "Vedalken",
 "OV" : "Vedalken",
 "Strength" : 0,
 "Constitution" : 0,
 "Dexterity" : 0,
 "Intelligence" : 2,
 "Wisdom" : 1,
 "Charisma" : 0,
 "Speed" : 9,
 "Weapons" : [],
 "Languages" : ["COMMON"],
 "Resistances" : [],
 "SaveAdvantages" : ["INT", "SAG", "CHA"],
"ACBonus": 0,
"Skills" : []
  }</v>
      </c>
    </row>
    <row r="20" spans="1:19">
      <c r="A20" s="53" t="s">
        <v>5794</v>
      </c>
      <c r="B20" s="26" t="s">
        <v>5793</v>
      </c>
      <c r="C20" s="26" t="s">
        <v>5793</v>
      </c>
      <c r="D20" s="63">
        <v>1</v>
      </c>
      <c r="E20" s="64">
        <v>0</v>
      </c>
      <c r="F20" s="64">
        <v>2</v>
      </c>
      <c r="G20" s="64">
        <v>0</v>
      </c>
      <c r="H20" s="64">
        <v>0</v>
      </c>
      <c r="I20" s="64">
        <v>0</v>
      </c>
      <c r="J20" s="64">
        <v>9</v>
      </c>
      <c r="K20" s="64" t="s">
        <v>2671</v>
      </c>
      <c r="L20" s="64"/>
      <c r="M20" s="64"/>
      <c r="N20" s="64">
        <v>0</v>
      </c>
      <c r="O20" s="64"/>
      <c r="P20" s="64"/>
      <c r="Q20" s="322"/>
      <c r="S20" t="str">
        <f t="shared" si="0"/>
        <v>"VIASHINO": {
 "Id" : "VIASHINO",
 "Name" : "Viashino",
 "OV" : "Viashino",
 "Strength" : 1,
 "Constitution" : 0,
 "Dexterity" : 2,
 "Intelligence" : 0,
 "Wisdom" : 0,
 "Charisma" : 0,
 "Speed" : 9,
 "Weapons" : [],
 "Languages" : ["COMMON", "DRACONIC"],
 "Resistances" : [],
 "SaveAdvantages" : [],
"ACBonus": 0,
"Skills" : []
  }</v>
      </c>
    </row>
    <row r="21" spans="1:19">
      <c r="A21" s="75" t="s">
        <v>5800</v>
      </c>
      <c r="B21" s="56" t="s">
        <v>5801</v>
      </c>
      <c r="C21" s="56" t="s">
        <v>5802</v>
      </c>
      <c r="D21" s="57">
        <v>0</v>
      </c>
      <c r="E21" s="58">
        <v>0</v>
      </c>
      <c r="F21" s="58">
        <v>0</v>
      </c>
      <c r="G21" s="58">
        <v>0</v>
      </c>
      <c r="H21" s="58">
        <v>0</v>
      </c>
      <c r="I21" s="58">
        <v>1</v>
      </c>
      <c r="J21" s="58">
        <v>9</v>
      </c>
      <c r="K21" s="58" t="s">
        <v>2665</v>
      </c>
      <c r="L21" s="58"/>
      <c r="M21" s="58" t="s">
        <v>5804</v>
      </c>
      <c r="N21" s="58">
        <v>0</v>
      </c>
      <c r="O21" s="58"/>
      <c r="P21" s="58"/>
      <c r="Q21" s="320"/>
      <c r="S21" t="str">
        <f t="shared" si="0"/>
        <v>"LEONID": {
 "Id" : "LEONID",
 "Name" : "Léonide",
 "OV" : "Leonid",
 "Strength" : 0,
 "Constitution" : 0,
 "Dexterity" : 0,
 "Intelligence" : 0,
 "Wisdom" : 0,
 "Charisma" : 1,
 "Speed" : 9,
 "Weapons" : [],
 "Languages" : ["COMMON"],
 "Resistances" : [],
 "SaveAdvantages" : [],
"ACBonus": 0,
"Skills" : ["Sens Aiguisés"]
  }</v>
      </c>
    </row>
    <row r="22" spans="1:19">
      <c r="A22" s="323" t="s">
        <v>5863</v>
      </c>
      <c r="B22" s="324" t="s">
        <v>4281</v>
      </c>
      <c r="C22" s="324" t="s">
        <v>4282</v>
      </c>
      <c r="D22" s="325">
        <v>0</v>
      </c>
      <c r="E22" s="326">
        <v>0</v>
      </c>
      <c r="F22" s="326">
        <v>0</v>
      </c>
      <c r="G22" s="326">
        <v>0</v>
      </c>
      <c r="H22" s="326">
        <v>0</v>
      </c>
      <c r="I22" s="326">
        <v>2</v>
      </c>
      <c r="J22" s="326">
        <v>9</v>
      </c>
      <c r="K22" s="326" t="s">
        <v>2665</v>
      </c>
      <c r="L22" s="326"/>
      <c r="M22" s="326"/>
      <c r="N22" s="326">
        <v>0</v>
      </c>
      <c r="O22" s="326"/>
      <c r="P22" s="326"/>
      <c r="Q22" s="327"/>
      <c r="S22" t="str">
        <f t="shared" si="0"/>
        <v>"CHANGELING": {
 "Id" : "CHANGELING",
 "Name" : "Changelin",
 "OV" : "Changeling",
 "Strength" : 0,
 "Constitution" : 0,
 "Dexterity" : 0,
 "Intelligence" : 0,
 "Wisdom" : 0,
 "Charisma" : 2,
 "Speed" : 9,
 "Weapons" : [],
 "Languages" : ["COMMON"],
 "Resistances" : [],
 "SaveAdvantages" : [],
"ACBonus": 0,
"Skills" : []
  }</v>
      </c>
    </row>
    <row r="24" spans="1:19">
      <c r="S24" t="str">
        <f>CONCATENATE(S2,",
",S3,",
",S4,",
",S5,",
",S6,",
",S7,",
",S8,",
",S9,",
",S10,",
",S11,",
",S12,",
",S13,",
",S14,",
",S15,",
",S16,",
",S17,",
",S18,",
",S19,",
",S20,",
",S21,",
",S22)</f>
        <v>"ELF": {
 "Id" : "ELF",
 "Name" : "Elfe",
 "OV" : "Elf",
 "Strength" : 0,
 "Constitution" : 0,
 "Dexterity" : 2,
 "Intelligence" : 0,
 "Wisdom" : 0,
 "Charisma" : 0,
 "Speed" : 9,
 "Weapons" : [],
 "Languages" : ["ELVISH"],
 "Resistances" : [],
 "SaveAdvantages" : ["CHARM"],
"ACBonus": 0,
"Skills" : []
  },
"HALFELIN": {
 "Id" : "HALFELIN",
 "Name" : "Halfelin",
 "OV" : "Halfelin",
 "Strength" : 0,
 "Constitution" : 0,
 "Dexterity" : 2,
 "Intelligence" : 0,
 "Wisdom" : 0,
 "Charisma" : 0,
 "Speed" : 7.5,
 "Weapons" : [],
 "Languages" : ["COMMON", "HALFELIN"],
 "Resistances" : [],
 "SaveAdvantages" : ["FEAR"],
"ACBonus": 0,
"Skills" : []
  },
"HUMAN": {
 "Id" : "HUMAN",
 "Name" : "Humain",
 "OV" : "Human",
 "Strength" : 1,
 "Constitution" : 1,
 "Dexterity" : 1,
 "Intelligence" : 1,
 "Wisdom" : 1,
 "Charisma" : 1,
 "Speed" : 9,
 "Weapons" : [],
 "Languages" : ["COMMON"],
 "Resistances" : [],
 "SaveAdvantages" : [],
"ACBonus": 0,
"Skills" : []
  },
"DWARF": {
 "Id" : "DWARF",
 "Name" : "Nain",
 "OV" : "Dwarf",
 "Strength" : 0,
 "Constitution" : 2,
 "Dexterity" : 0,
 "Intelligence" : 0,
 "Wisdom" : 0,
 "Charisma" : 0,
 "Speed" : 7.5,
 "Weapons" : ["Hachette", "Hache d'armes", "Marteau léger", "Marteau de guerre"],
 "Languages" : ["DWARF"],
 "Resistances" : ["POISON"],
 "SaveAdvantages" : ["POISON"],
"ACBonus": 0,
"Skills" : []
  },
"HALF_ELF": {
 "Id" : "HALF_ELF",
 "Name" : "Demi-Elfe",
 "OV" : "Half-Elf",
 "Strength" : 0,
 "Constitution" : 0,
 "Dexterity" : 0,
 "Intelligence" : 0,
 "Wisdom" : 0,
 "Charisma" : 2,
 "Speed" : 9,
 "Weapons" : [],
 "Languages" : ["COMMON", "ELVISH"],
 "Resistances" : [],
 "SaveAdvantages" : [],
"ACBonus": 0,
"Skills" : []
  },
"HALF_ORC": {
 "Id" : "HALF_ORC",
 "Name" : "Demi-Orque",
 "OV" : "Half-Orc",
 "Strength" : 2,
 "Constitution" : 1,
 "Dexterity" : 0,
 "Intelligence" : 0,
 "Wisdom" : 0,
 "Charisma" : 0,
 "Speed" : 9,
 "Weapons" : [],
 "Languages" : ["COMMON", "ORC"],
 "Resistances" : [],
 "SaveAdvantages" : [],
"ACBonus": 0,
"Skills" : []
  },
"DRAGON_BORN": {
 "Id" : "DRAGON_BORN",
 "Name" : "Drakéide",
 "OV" : "Dragon Born",
 "Strength" : 2,
 "Constitution" : 0,
 "Dexterity" : 0,
 "Intelligence" : 0,
 "Wisdom" : 0,
 "Charisma" : 1,
 "Speed" : 9,
 "Weapons" : [],
 "Languages" : ["COMMON", "DRACONIC"],
 "Resistances" : [],
 "SaveAdvantages" : [],
"ACBonus": 0,
"Skills" : []
  },
"GNOME": {
 "Id" : "GNOME",
 "Name" : "Gnome",
 "OV" : "Gnome",
 "Strength" : 0,
 "Constitution" : 0,
 "Dexterity" : 0,
 "Intelligence" : 2,
 "Wisdom" : 0,
 "Charisma" : 0,
 "Speed" : 7.5,
 "Weapons" : [],
 "Languages" : ["COMMON", "GNOME"],
 "Resistances" : [],
 "SaveAdvantages" : ["INT", "SAG", "CHA"],
"ACBonus": 0,
"Skills" : []
  },
"TIEFFLING": {
 "Id" : "TIEFFLING",
 "Name" : "Tieffelin",
 "OV" : "Tieffling",
 "Strength" : 0,
 "Constitution" : 0,
 "Dexterity" : 0,
 "Intelligence" : 0,
 "Wisdom" : 0,
 "Charisma" : 0,
 "Speed" : 9,
 "Weapons" : [],
 "Languages" : ["COMMON", "INFERNAL"],
 "Resistances" : [],
 "SaveAdvantages" : [],
"ACBonus": 0,
"Skills" : []
  },
"AARAKOCRA": {
 "Id" : "AARAKOCRA",
 "Name" : "Aarakocra *",
 "OV" : "Aarakocra",
 "Strength" : 0,
 "Constitution" : 0,
 "Dexterity" : 2,
 "Intelligence" : 0,
 "Wisdom" : 1,
 "Charisma" : 0,
 "Speed" : 7.5,
 "Weapons" : [],
 "Languages" : ["COMMON", "AARAKOCRA", "AIR"],
 "Resistances" : [],
 "SaveAdvantages" : [],
"ACBonus": 0,
"Skills" : []
  },
"GENASI": {
 "Id" : "GENASI",
 "Name" : "Génasi *",
 "OV" : "Genasi",
 "Strength" : 0,
 "Constitution" : 2,
 "Dexterity" : 0,
 "Intelligence" : 0,
 "Wisdom" : 0,
 "Charisma" : 0,
 "Speed" : 9,
 "Weapons" : [],
 "Languages" : ["COMMON", "PRIMARY"],
 "Resistances" : [],
 "SaveAdvantages" : [],
"ACBonus": 0,
"Skills" : []
  },
"GOLIATH": {
 "Id" : "GOLIATH",
 "Name" : "Goliath *",
 "OV" : "Goliath",
 "Strength" : 2,
 "Constitution" : 1,
 "Dexterity" : 0,
 "Intelligence" : 0,
 "Wisdom" : 0,
 "Charisma" : 0,
 "Speed" : 9,
 "Weapons" : [],
 "Languages" : ["COMMON", "GIANT"],
 "Resistances" : [],
 "SaveAdvantages" : [],
"ACBonus": 0,
"Skills" : []
  },
"KALASHTAR": {
 "Id" : "KALASHTAR",
 "Name" : "Kalashtar",
 "OV" : "Kalashtar",
 "Strength" : 0,
 "Constitution" : 0,
 "Dexterity" : 0,
 "Intelligence" : 0,
 "Wisdom" : 1,
 "Charisma" : 1,
 "Speed" : 9,
 "Weapons" : [],
 "Languages" : ["COMMON", "QUORIAN"],
 "Resistances" : [],
 "SaveAdvantages" : [],
"ACBonus": 0,
"Skills" : []
  },
"FERAL": {
 "Id" : "FERAL",
 "Name" : "Féral",
 "OV" : "Feral",
 "Strength" : 0,
 "Constitution" : 0,
 "Dexterity" : 1,
 "Intelligence" : 0,
 "Wisdom" : 0,
 "Charisma" : 0,
 "Speed" : 9,
 "Weapons" : [],
 "Languages" : ["COMMON"],
 "Resistances" : [],
 "SaveAdvantages" : [],
"ACBonus": 0,
"Skills" : ["Perception"]
  },
"WARFORGED": {
 "Id" : "WARFORGED",
 "Name" : "Forgelier",
 "OV" : "Warforged",
 "Strength" : 0,
 "Constitution" : 2,
 "Dexterity" : 0,
 "Intelligence" : 0,
 "Wisdom" : 0,
 "Charisma" : 0,
 "Speed" : 9,
 "Weapons" : [],
 "Languages" : ["COMMON"],
 "Resistances" : ["POISON"],
 "SaveAdvantages" : ["POISON"],
"ACBonus": 1,
"Skills" : []
  },
"LOXODON": {
 "Id" : "LOXODON",
 "Name" : "Loxodon",
 "OV" : "Loxodon",
 "Strength" : 0,
 "Constitution" : 2,
 "Dexterity" : 0,
 "Intelligence" : 0,
 "Wisdom" : 1,
 "Charisma" : 0,
 "Speed" : 9,
 "Weapons" : [],
 "Languages" : ["COMMON"],
 "Resistances" : [],
 "SaveAdvantages" : ["FEAR"],
"ACBonus": 3,
 "ACBonusArmor" : false,
"Skills" : []
  },
"SIMIC": {
 "Id" : "SIMIC",
 "Name" : "Simic",
 "OV" : "Simic",
 "Strength" : 0,
 "Constitution" : 2,
 "Dexterity" : 0,
 "Intelligence" : 0,
 "Wisdom" : 0,
 "Charisma" : 0,
 "Speed" : 9,
 "Weapons" : [],
 "Languages" : ["COMMON", "ELVISH"],
 "Resistances" : [],
 "SaveAdvantages" : [],
"ACBonus": 0,
"Skills" : []
  },
"VEDALKEN": {
 "Id" : "VEDALKEN",
 "Name" : "Vedalken",
 "OV" : "Vedalken",
 "Strength" : 0,
 "Constitution" : 0,
 "Dexterity" : 0,
 "Intelligence" : 2,
 "Wisdom" : 1,
 "Charisma" : 0,
 "Speed" : 9,
 "Weapons" : [],
 "Languages" : ["COMMON"],
 "Resistances" : [],
 "SaveAdvantages" : ["INT", "SAG", "CHA"],
"ACBonus": 0,
"Skills" : []
  },
"VIASHINO": {
 "Id" : "VIASHINO",
 "Name" : "Viashino",
 "OV" : "Viashino",
 "Strength" : 1,
 "Constitution" : 0,
 "Dexterity" : 2,
 "Intelligence" : 0,
 "Wisdom" : 0,
 "Charisma" : 0,
 "Speed" : 9,
 "Weapons" : [],
 "Languages" : ["COMMON", "DRACONIC"],
 "Resistances" : [],
 "SaveAdvantages" : [],
"ACBonus": 0,
"Skills" : []
  },
"LEONID": {
 "Id" : "LEONID",
 "Name" : "Léonide",
 "OV" : "Leonid",
 "Strength" : 0,
 "Constitution" : 0,
 "Dexterity" : 0,
 "Intelligence" : 0,
 "Wisdom" : 0,
 "Charisma" : 1,
 "Speed" : 9,
 "Weapons" : [],
 "Languages" : ["COMMON"],
 "Resistances" : [],
 "SaveAdvantages" : [],
"ACBonus": 0,
"Skills" : ["Sens Aiguisés"]
  },
"CHANGELING": {
 "Id" : "CHANGELING",
 "Name" : "Changelin",
 "OV" : "Changeling",
 "Strength" : 0,
 "Constitution" : 0,
 "Dexterity" : 0,
 "Intelligence" : 0,
 "Wisdom" : 0,
 "Charisma" : 2,
 "Speed" : 9,
 "Weapons" : [],
 "Languages" : ["COMMON"],
 "Resistances" : [],
 "SaveAdvantages" : [],
"ACBonus": 0,
"Skills" : []
  }</v>
      </c>
    </row>
    <row r="25" spans="1:19">
      <c r="K25" s="18"/>
    </row>
  </sheetData>
  <hyperlinks>
    <hyperlink ref="B2" r:id="rId1" tooltip="Allez à la page Elfe" display="https://www.aidedd.org/regles/races/elfe/" xr:uid="{00000000-0004-0000-0100-000000000000}"/>
    <hyperlink ref="B3" r:id="rId2" tooltip="Allez à la page Halfelin" display="https://www.aidedd.org/regles/races/halfelin/" xr:uid="{00000000-0004-0000-0100-000001000000}"/>
    <hyperlink ref="B4" r:id="rId3" tooltip="Allez à la page Humain" display="https://www.aidedd.org/regles/races/humain/" xr:uid="{00000000-0004-0000-0100-000002000000}"/>
    <hyperlink ref="B5" r:id="rId4" tooltip="Allez à la page Nain" display="https://www.aidedd.org/regles/races/nain/" xr:uid="{00000000-0004-0000-0100-000003000000}"/>
    <hyperlink ref="B7" r:id="rId5" tooltip="Allez à la page Demi-orque" display="https://www.aidedd.org/regles/races/demi-orque/" xr:uid="{00000000-0004-0000-0100-000004000000}"/>
    <hyperlink ref="B8" r:id="rId6" tooltip="Allez à la page Drakéide" display="https://www.aidedd.org/regles/races/drakeide/" xr:uid="{00000000-0004-0000-0100-000005000000}"/>
    <hyperlink ref="B9" r:id="rId7" tooltip="Allez à la page Gnome" display="https://www.aidedd.org/regles/races/gnome/" xr:uid="{00000000-0004-0000-0100-000006000000}"/>
    <hyperlink ref="B10" r:id="rId8" tooltip="Allez à la page Tieffelin" display="https://www.aidedd.org/regles/races/tieffelin/" xr:uid="{00000000-0004-0000-0100-000007000000}"/>
    <hyperlink ref="B11" r:id="rId9" tooltip="Allez à la page Aarakocra" display="https://www.aidedd.org/regles/races/aarakocra/" xr:uid="{00000000-0004-0000-0100-000008000000}"/>
    <hyperlink ref="B12" r:id="rId10" tooltip="Allez à la page Génasi" display="https://www.aidedd.org/regles/races/genasis/" xr:uid="{00000000-0004-0000-0100-000009000000}"/>
    <hyperlink ref="B22" r:id="rId11" tooltip="Allez à la page Goliath" display="https://www.aidedd.org/regles/races/goliath/" xr:uid="{00000000-0004-0000-0100-00000A000000}"/>
    <hyperlink ref="B6" r:id="rId12" tooltip="Allez à la page Demi-elfe" display="https://www.aidedd.org/regles/races/demi-elfe/" xr:uid="{00000000-0004-0000-0100-00000B000000}"/>
    <hyperlink ref="B13" r:id="rId13" tooltip="Allez à la page Goliath" display="https://www.aidedd.org/regles/races/goliath/" xr:uid="{DDF44A06-6840-49F4-B9D6-59F006E4744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5"/>
  <sheetViews>
    <sheetView workbookViewId="0">
      <selection activeCell="C6" sqref="C6"/>
    </sheetView>
  </sheetViews>
  <sheetFormatPr baseColWidth="10" defaultRowHeight="15"/>
  <cols>
    <col min="1" max="1" width="20.85546875" customWidth="1"/>
    <col min="3" max="3" width="137.42578125" customWidth="1"/>
    <col min="5" max="5" width="109.28515625" customWidth="1"/>
  </cols>
  <sheetData>
    <row r="1" spans="1:5" ht="15" customHeight="1">
      <c r="A1" s="165" t="s">
        <v>954</v>
      </c>
      <c r="B1" s="165" t="s">
        <v>312</v>
      </c>
      <c r="C1" s="165" t="s">
        <v>1075</v>
      </c>
    </row>
    <row r="2" spans="1:5" ht="30" customHeight="1">
      <c r="A2" s="161" t="s">
        <v>2560</v>
      </c>
      <c r="B2" s="161" t="s">
        <v>2657</v>
      </c>
      <c r="C2" s="162" t="s">
        <v>2568</v>
      </c>
      <c r="E2" t="str">
        <f t="shared" ref="E2:E10" si="0">""""&amp;B2&amp;""": {
  ""Code"" : """&amp;B2&amp;""",
  ""Name"" : """&amp;A2&amp;""",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18" t="s">
        <v>5733</v>
      </c>
      <c r="B3" s="18" t="s">
        <v>2658</v>
      </c>
      <c r="C3" s="163" t="s">
        <v>2571</v>
      </c>
      <c r="E3" t="str">
        <f t="shared" si="0"/>
        <v>"2_NB": {
  "Code" : "2_NB",
  "Name" : "Neutre bon",
  "Description" : "Ces personnes font du mieux qu'elles peuvent pour aider les autres, en fonction de leurs besoins toutefois. Beaucoup des créatures célestes, certains géants des nuages et la plupart des gnomes sont neutre bon."
   }</v>
      </c>
    </row>
    <row r="4" spans="1:5" ht="30" customHeight="1">
      <c r="A4" s="18" t="s">
        <v>2561</v>
      </c>
      <c r="B4" s="18" t="s">
        <v>2659</v>
      </c>
      <c r="C4" s="163" t="s">
        <v>2570</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18" t="s">
        <v>2562</v>
      </c>
      <c r="B5" s="18" t="s">
        <v>2660</v>
      </c>
      <c r="C5" s="163" t="s">
        <v>2569</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18" t="s">
        <v>2567</v>
      </c>
      <c r="B6" s="18" t="s">
        <v>5734</v>
      </c>
      <c r="C6" s="163" t="s">
        <v>2573</v>
      </c>
      <c r="E6" t="str">
        <f t="shared" si="0"/>
        <v>"5_NN":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18" t="s">
        <v>2563</v>
      </c>
      <c r="B7" s="18" t="s">
        <v>2661</v>
      </c>
      <c r="C7" s="163" t="s">
        <v>2572</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18" t="s">
        <v>2564</v>
      </c>
      <c r="B8" s="18" t="s">
        <v>2662</v>
      </c>
      <c r="C8" s="163" t="s">
        <v>2574</v>
      </c>
      <c r="E8" t="str">
        <f t="shared" si="0"/>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18" t="s">
        <v>2566</v>
      </c>
      <c r="B9" s="18" t="s">
        <v>2663</v>
      </c>
      <c r="C9" s="163" t="s">
        <v>2575</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52" t="s">
        <v>2565</v>
      </c>
      <c r="B10" s="52" t="s">
        <v>2664</v>
      </c>
      <c r="C10" s="164" t="s">
        <v>2576</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3"/>
  <sheetViews>
    <sheetView topLeftCell="A6" workbookViewId="0">
      <selection activeCell="G23" sqref="G23"/>
    </sheetView>
  </sheetViews>
  <sheetFormatPr baseColWidth="10" defaultRowHeight="15"/>
  <cols>
    <col min="2" max="2" width="17.5703125" customWidth="1"/>
    <col min="3" max="3" width="28" customWidth="1"/>
    <col min="4" max="4" width="26.7109375" customWidth="1"/>
  </cols>
  <sheetData>
    <row r="1" spans="1:7" ht="15.75" customHeight="1">
      <c r="A1" s="165" t="s">
        <v>2593</v>
      </c>
      <c r="B1" s="165" t="s">
        <v>2676</v>
      </c>
      <c r="C1" s="166" t="s">
        <v>954</v>
      </c>
      <c r="D1" s="166" t="s">
        <v>2578</v>
      </c>
      <c r="E1" s="166" t="s">
        <v>2579</v>
      </c>
    </row>
    <row r="2" spans="1:7">
      <c r="A2" s="68" t="s">
        <v>2594</v>
      </c>
      <c r="B2" s="98" t="s">
        <v>2677</v>
      </c>
      <c r="C2" s="167" t="s">
        <v>2580</v>
      </c>
      <c r="D2" s="167" t="s">
        <v>2581</v>
      </c>
      <c r="E2" s="168" t="s">
        <v>2580</v>
      </c>
      <c r="G2" t="str">
        <f>""""&amp;B2&amp;""": {
  ""Code"" : """&amp;B2&amp;""",
  ""Name"" : """&amp;C2&amp;""",
  ""Type"" : """&amp;A2&amp;""",
  ""Writing"" : """&amp;E2&amp;""",
  ""TypicalRaces"" : """&amp;D2&amp;"""
   }"</f>
        <v>"COMMON": {
  "Code" : "COMMON",
  "Name" : "Commun",
  "Type" : "STANDARD",
  "Writing" : "Commun",
  "TypicalRaces" : "Humains"
   }</v>
      </c>
    </row>
    <row r="3" spans="1:7">
      <c r="A3" s="48" t="s">
        <v>2594</v>
      </c>
      <c r="B3" s="18" t="s">
        <v>2678</v>
      </c>
      <c r="C3" s="31" t="s">
        <v>2582</v>
      </c>
      <c r="D3" s="31" t="s">
        <v>2583</v>
      </c>
      <c r="E3" s="32" t="s">
        <v>2582</v>
      </c>
      <c r="G3" t="str">
        <f t="shared" ref="G3:G20" si="0">""""&amp;B3&amp;""": {
  ""Code"" : """&amp;B3&amp;""",
  ""Name"" : """&amp;C3&amp;""",
  ""Type"" : """&amp;A3&amp;""",
  ""Writing"" : """&amp;E3&amp;""",
  ""TypicalRaces"" : """&amp;D3&amp;"""
   }"</f>
        <v>"ELVISH": {
  "Code" : "ELVISH",
  "Name" : "Elfique",
  "Type" : "STANDARD",
  "Writing" : "Elfique",
  "TypicalRaces" : "Elfes"
   }</v>
      </c>
    </row>
    <row r="4" spans="1:7">
      <c r="A4" s="53" t="s">
        <v>2594</v>
      </c>
      <c r="B4" s="54" t="s">
        <v>2679</v>
      </c>
      <c r="C4" s="34" t="s">
        <v>2584</v>
      </c>
      <c r="D4" s="34" t="s">
        <v>2585</v>
      </c>
      <c r="E4" s="35" t="s">
        <v>266</v>
      </c>
      <c r="G4" t="str">
        <f t="shared" si="0"/>
        <v>"GIANT": {
  "Code" : "GIANT",
  "Name" : "Géant",
  "Type" : "STANDARD",
  "Writing" : "Nain",
  "TypicalRaces" : "Ogres, géants"
   }</v>
      </c>
    </row>
    <row r="5" spans="1:7">
      <c r="A5" s="48" t="s">
        <v>2594</v>
      </c>
      <c r="B5" s="18" t="s">
        <v>5</v>
      </c>
      <c r="C5" s="31" t="s">
        <v>259</v>
      </c>
      <c r="D5" s="31" t="s">
        <v>2586</v>
      </c>
      <c r="E5" s="32" t="s">
        <v>266</v>
      </c>
      <c r="G5" t="str">
        <f t="shared" si="0"/>
        <v>"GNOME": {
  "Code" : "GNOME",
  "Name" : "Gnome",
  "Type" : "STANDARD",
  "Writing" : "Nain",
  "TypicalRaces" : "Gnomes"
   }</v>
      </c>
    </row>
    <row r="6" spans="1:7">
      <c r="A6" s="53" t="s">
        <v>2594</v>
      </c>
      <c r="B6" s="54" t="s">
        <v>2680</v>
      </c>
      <c r="C6" s="34" t="s">
        <v>2587</v>
      </c>
      <c r="D6" s="34" t="s">
        <v>2588</v>
      </c>
      <c r="E6" s="35" t="s">
        <v>266</v>
      </c>
      <c r="G6" t="str">
        <f t="shared" si="0"/>
        <v>"GOBLIN": {
  "Code" : "GOBLIN",
  "Name" : "Gobelin",
  "Type" : "STANDARD",
  "Writing" : "Nain",
  "TypicalRaces" : "Gobelinoïdes"
   }</v>
      </c>
    </row>
    <row r="7" spans="1:7">
      <c r="A7" s="48" t="s">
        <v>2594</v>
      </c>
      <c r="B7" s="55" t="s">
        <v>4</v>
      </c>
      <c r="C7" s="31" t="s">
        <v>253</v>
      </c>
      <c r="D7" s="31" t="s">
        <v>2589</v>
      </c>
      <c r="E7" s="32" t="s">
        <v>2580</v>
      </c>
      <c r="G7" t="str">
        <f t="shared" si="0"/>
        <v>"HALFELIN": {
  "Code" : "HALFELIN",
  "Name" : "Halfelin",
  "Type" : "STANDARD",
  "Writing" : "Commun",
  "TypicalRaces" : "Halfelins"
   }</v>
      </c>
    </row>
    <row r="8" spans="1:7">
      <c r="A8" s="53" t="s">
        <v>2594</v>
      </c>
      <c r="B8" s="54" t="s">
        <v>232</v>
      </c>
      <c r="C8" s="34" t="s">
        <v>266</v>
      </c>
      <c r="D8" s="34" t="s">
        <v>2590</v>
      </c>
      <c r="E8" s="35" t="s">
        <v>266</v>
      </c>
      <c r="G8" t="str">
        <f t="shared" si="0"/>
        <v>"DWARF": {
  "Code" : "DWARF",
  "Name" : "Nain",
  "Type" : "STANDARD",
  "Writing" : "Nain",
  "TypicalRaces" : "Nains"
   }</v>
      </c>
    </row>
    <row r="9" spans="1:7">
      <c r="A9" s="48" t="s">
        <v>2594</v>
      </c>
      <c r="B9" s="55" t="s">
        <v>2681</v>
      </c>
      <c r="C9" s="31" t="s">
        <v>2591</v>
      </c>
      <c r="D9" s="31" t="s">
        <v>2592</v>
      </c>
      <c r="E9" s="32" t="s">
        <v>266</v>
      </c>
      <c r="G9" t="str">
        <f t="shared" si="0"/>
        <v>"ORC": {
  "Code" : "ORC",
  "Name" : "Orque",
  "Type" : "STANDARD",
  "Writing" : "Nain",
  "TypicalRaces" : "Orques"
   }</v>
      </c>
    </row>
    <row r="10" spans="1:7">
      <c r="A10" s="53" t="s">
        <v>2611</v>
      </c>
      <c r="B10" s="54" t="s">
        <v>2682</v>
      </c>
      <c r="C10" s="34" t="s">
        <v>2595</v>
      </c>
      <c r="D10" s="34" t="s">
        <v>2596</v>
      </c>
      <c r="E10" s="35" t="s">
        <v>2597</v>
      </c>
      <c r="G10" t="str">
        <f t="shared" si="0"/>
        <v>"ABYSSAL": {
  "Code" : "ABYSSAL",
  "Name" : "Abyssal",
  "Type" : "EXOTIC",
  "Writing" : "Infernal",
  "TypicalRaces" : "Démons"
   }</v>
      </c>
    </row>
    <row r="11" spans="1:7">
      <c r="A11" s="48" t="s">
        <v>2611</v>
      </c>
      <c r="B11" s="55" t="s">
        <v>2684</v>
      </c>
      <c r="C11" s="31" t="s">
        <v>2598</v>
      </c>
      <c r="D11" s="31" t="s">
        <v>2599</v>
      </c>
      <c r="E11" s="32" t="s">
        <v>2598</v>
      </c>
      <c r="G11" t="str">
        <f t="shared" si="0"/>
        <v>"CELESTIAL": {
  "Code" : "CELESTIAL",
  "Name" : "Céleste",
  "Type" : "EXOTIC",
  "Writing" : "Céleste",
  "TypicalRaces" : "Célestes"
   }</v>
      </c>
    </row>
    <row r="12" spans="1:7" ht="17.25" customHeight="1">
      <c r="A12" s="53" t="s">
        <v>2611</v>
      </c>
      <c r="B12" s="54" t="s">
        <v>2685</v>
      </c>
      <c r="C12" s="34" t="s">
        <v>2600</v>
      </c>
      <c r="D12" s="34" t="s">
        <v>2601</v>
      </c>
      <c r="E12" s="35" t="s">
        <v>2582</v>
      </c>
      <c r="G12" t="str">
        <f t="shared" si="0"/>
        <v>"DEPTH_COMMON": {
  "Code" : "DEPTH_COMMON",
  "Name" : "Commun des profondeurs",
  "Type" : "EXOTIC",
  "Writing" : "Elfique",
  "TypicalRaces" : "Créatures de l'Outreterre"
   }</v>
      </c>
    </row>
    <row r="13" spans="1:7" ht="13.5" customHeight="1">
      <c r="A13" s="48" t="s">
        <v>2611</v>
      </c>
      <c r="B13" s="55" t="s">
        <v>2686</v>
      </c>
      <c r="C13" s="31" t="s">
        <v>2602</v>
      </c>
      <c r="D13" s="31" t="s">
        <v>2603</v>
      </c>
      <c r="E13" s="32" t="s">
        <v>2602</v>
      </c>
      <c r="G13" t="str">
        <f t="shared" si="0"/>
        <v>"DRACONIC": {
  "Code" : "DRACONIC",
  "Name" : "Draconique",
  "Type" : "EXOTIC",
  "Writing" : "Draconique",
  "TypicalRaces" : "Dragons, drakéides"
   }</v>
      </c>
    </row>
    <row r="14" spans="1:7">
      <c r="A14" s="53" t="s">
        <v>2611</v>
      </c>
      <c r="B14" s="54" t="s">
        <v>2683</v>
      </c>
      <c r="C14" s="34" t="s">
        <v>2597</v>
      </c>
      <c r="D14" s="34" t="s">
        <v>2604</v>
      </c>
      <c r="E14" s="35" t="s">
        <v>2597</v>
      </c>
      <c r="G14" t="str">
        <f t="shared" si="0"/>
        <v>"INFERNAL": {
  "Code" : "INFERNAL",
  "Name" : "Infernal",
  "Type" : "EXOTIC",
  "Writing" : "Infernal",
  "TypicalRaces" : "Diables"
   }</v>
      </c>
    </row>
    <row r="15" spans="1:7">
      <c r="A15" s="48" t="s">
        <v>2611</v>
      </c>
      <c r="B15" s="55" t="s">
        <v>2687</v>
      </c>
      <c r="C15" s="31" t="s">
        <v>2605</v>
      </c>
      <c r="D15" s="31" t="s">
        <v>2606</v>
      </c>
      <c r="E15" s="32" t="s">
        <v>266</v>
      </c>
      <c r="G15" t="str">
        <f t="shared" si="0"/>
        <v>"PRIMARY": {
  "Code" : "PRIMARY",
  "Name" : "Primordial",
  "Type" : "EXOTIC",
  "Writing" : "Nain",
  "TypicalRaces" : "Élémentaires"
   }</v>
      </c>
    </row>
    <row r="16" spans="1:7" ht="12.75" customHeight="1">
      <c r="A16" s="53" t="s">
        <v>2611</v>
      </c>
      <c r="B16" s="54" t="s">
        <v>2688</v>
      </c>
      <c r="C16" s="34" t="s">
        <v>2607</v>
      </c>
      <c r="D16" s="34" t="s">
        <v>2608</v>
      </c>
      <c r="E16" s="35" t="s">
        <v>50</v>
      </c>
      <c r="G16" t="str">
        <f t="shared" si="0"/>
        <v>"DEEP": {
  "Code" : "DEEP",
  "Name" : "Profond",
  "Type" : "EXOTIC",
  "Writing" : "-",
  "TypicalRaces" : "Beholders, flagelleurs mentaux"
   }</v>
      </c>
    </row>
    <row r="17" spans="1:7" ht="12.75" customHeight="1">
      <c r="A17" s="48" t="s">
        <v>2611</v>
      </c>
      <c r="B17" s="18" t="s">
        <v>2689</v>
      </c>
      <c r="C17" s="31" t="s">
        <v>2609</v>
      </c>
      <c r="D17" s="31" t="s">
        <v>2610</v>
      </c>
      <c r="E17" s="32" t="s">
        <v>2582</v>
      </c>
      <c r="G17" t="str">
        <f t="shared" si="0"/>
        <v>"SILVAN": {
  "Code" : "SILVAN",
  "Name" : "Sylvain",
  "Type" : "EXOTIC",
  "Writing" : "Elfique",
  "TypicalRaces" : "Créatures féeriques"
   }</v>
      </c>
    </row>
    <row r="18" spans="1:7" ht="12.75" customHeight="1">
      <c r="A18" s="53" t="s">
        <v>2611</v>
      </c>
      <c r="B18" s="54" t="s">
        <v>5736</v>
      </c>
      <c r="C18" s="228" t="s">
        <v>5737</v>
      </c>
      <c r="D18" s="228" t="s">
        <v>4918</v>
      </c>
      <c r="E18" s="321" t="s">
        <v>50</v>
      </c>
      <c r="G18" t="str">
        <f t="shared" si="0"/>
        <v>"QUORIAN": {
  "Code" : "QUORIAN",
  "Name" : "Quorien",
  "Type" : "EXOTIC",
  "Writing" : "-",
  "TypicalRaces" : "Kalashtar"
   }</v>
      </c>
    </row>
    <row r="19" spans="1:7" ht="12.75" customHeight="1">
      <c r="A19" s="75" t="s">
        <v>2611</v>
      </c>
      <c r="B19" s="55" t="s">
        <v>5815</v>
      </c>
      <c r="C19" s="73" t="s">
        <v>5816</v>
      </c>
      <c r="D19" s="73" t="s">
        <v>5817</v>
      </c>
      <c r="E19" s="332" t="s">
        <v>50</v>
      </c>
      <c r="G19" t="str">
        <f t="shared" si="0"/>
        <v>"AQUATIC": {
  "Code" : "AQUATIC",
  "Name" : "Aquatique",
  "Type" : "EXOTIC",
  "Writing" : "-",
  "TypicalRaces" : "Efle aquatique"
   }</v>
      </c>
    </row>
    <row r="20" spans="1:7" ht="14.25" customHeight="1">
      <c r="A20" s="323" t="s">
        <v>2611</v>
      </c>
      <c r="B20" s="329" t="s">
        <v>2691</v>
      </c>
      <c r="C20" s="330" t="s">
        <v>2692</v>
      </c>
      <c r="D20" s="330" t="s">
        <v>261</v>
      </c>
      <c r="E20" s="331" t="s">
        <v>50</v>
      </c>
      <c r="G20" t="str">
        <f t="shared" si="0"/>
        <v>"AIR": {
  "Code" : "AIR",
  "Name" : "Aérien",
  "Type" : "EXOTIC",
  "Writing" : "-",
  "TypicalRaces" : "Aarakocra"
   }</v>
      </c>
    </row>
    <row r="21" spans="1:7" ht="14.25" customHeight="1">
      <c r="A21" s="55"/>
      <c r="B21" s="55"/>
      <c r="C21" s="73"/>
      <c r="D21" s="73"/>
      <c r="E21" s="73"/>
    </row>
    <row r="23" spans="1:7">
      <c r="G23" t="str">
        <f>CONCATENATE(G2,",
",G3,",
",G4,",
",G5,",
",G6,",
",G7,",
",G8,",
",G9,",
",G10,",
",G11,",
",G12,",
",G13,",
",G14,",
",G15,",
",G16,",
",G17,",
",G18,",
",G19,",
",G20)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"QUORIAN": {
  "Code" : "QUORIAN",
  "Name" : "Quorien",
  "Type" : "EXOTIC",
  "Writing" : "-",
  "TypicalRaces" : "Kalashtar"
   },
"AQUATIC": {
  "Code" : "AQUATIC",
  "Name" : "Aquatique",
  "Type" : "EXOTIC",
  "Writing" : "-",
  "TypicalRaces" : "Efle aquatique"
   },
"AIR": {
  "Code" : "AIR",
  "Name" : "Aérien",
  "Type" : "EXOTIC",
  "Writing" : "-",
  "TypicalRaces" : "Aarakocra"
   }</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4"/>
  <sheetViews>
    <sheetView topLeftCell="A4" workbookViewId="0">
      <selection activeCell="D24" sqref="D24"/>
    </sheetView>
  </sheetViews>
  <sheetFormatPr baseColWidth="10" defaultRowHeight="15"/>
  <cols>
    <col min="1" max="1" width="13.42578125" style="84" customWidth="1"/>
    <col min="2" max="2" width="17.5703125" style="84" customWidth="1"/>
    <col min="3" max="3" width="16.7109375" style="84" customWidth="1"/>
    <col min="4" max="4" width="11.42578125" style="84"/>
    <col min="5" max="5" width="84.7109375" style="84" customWidth="1"/>
    <col min="6" max="16384" width="11.42578125" style="84"/>
  </cols>
  <sheetData>
    <row r="1" spans="1:7">
      <c r="A1" s="195" t="s">
        <v>2593</v>
      </c>
      <c r="B1" s="195" t="s">
        <v>2732</v>
      </c>
      <c r="C1" s="195" t="s">
        <v>2733</v>
      </c>
      <c r="D1" s="195" t="s">
        <v>2734</v>
      </c>
      <c r="E1" s="195" t="s">
        <v>1075</v>
      </c>
    </row>
    <row r="2" spans="1:7">
      <c r="A2" s="199" t="s">
        <v>2816</v>
      </c>
      <c r="B2" s="196" t="s">
        <v>2735</v>
      </c>
      <c r="C2" s="84" t="s">
        <v>2736</v>
      </c>
      <c r="D2" s="84" t="s">
        <v>2737</v>
      </c>
      <c r="G2" s="84" t="str">
        <f>""""&amp;B2&amp;""": {
  ""Type"": """&amp;A2&amp;""",
  ""Code"": """&amp;B2&amp;""",
  ""Name"": """&amp;C2&amp;""",
  ""Effect"": """&amp;D2&amp;""",
  ""EffectDescription"": """&amp;E2&amp;"""
 }"</f>
        <v>"ALCOHOL": {
  "Type": "1_SUBSTANCE",
  "Code": "ALCOHOL",
  "Name": "Alcool",
  "Effect": "Alcoolisé",
  "EffectDescription": ""
 }</v>
      </c>
    </row>
    <row r="3" spans="1:7">
      <c r="A3" s="199" t="s">
        <v>2816</v>
      </c>
      <c r="B3" s="196" t="s">
        <v>2738</v>
      </c>
      <c r="C3" s="84" t="s">
        <v>2739</v>
      </c>
      <c r="D3" s="84" t="s">
        <v>2740</v>
      </c>
      <c r="G3" s="84" t="str">
        <f t="shared" ref="G3:G8" si="0">""""&amp;B3&amp;""": {
  ""Type"": """&amp;A3&amp;""",
  ""Code"": """&amp;B3&amp;""",
  ""Name"": """&amp;C3&amp;""",
  ""Effect"": """&amp;D3&amp;""",
  ""EffectDescription"": """&amp;E3&amp;"""
 }"</f>
        <v>"DRUG": {
  "Type": "1_SUBSTANCE",
  "Code": "DRUG",
  "Name": "Narcotique",
  "Effect": "Drogué",
  "EffectDescription": ""
 }</v>
      </c>
    </row>
    <row r="4" spans="1:7">
      <c r="A4" s="207" t="s">
        <v>2816</v>
      </c>
      <c r="B4" s="196" t="s">
        <v>2741</v>
      </c>
      <c r="C4" s="84" t="s">
        <v>637</v>
      </c>
      <c r="D4" s="84" t="s">
        <v>2742</v>
      </c>
      <c r="E4" s="84" t="s">
        <v>2743</v>
      </c>
      <c r="G4" s="84" t="str">
        <f t="shared" si="0"/>
        <v>"POISON": {
  "Type": "1_SUBSTANCE",
  "Code": "POISON",
  "Name": "Poison",
  "Effect": "Empoisonné",
  "EffectDescription": "Une créature empoisonnée a un désavantage aux jets d'attaque et aux jets de caractéristique."
 }</v>
      </c>
    </row>
    <row r="5" spans="1:7">
      <c r="A5" s="197" t="s">
        <v>2817</v>
      </c>
      <c r="B5" s="197" t="s">
        <v>2747</v>
      </c>
      <c r="C5" s="84" t="s">
        <v>2748</v>
      </c>
      <c r="D5" s="84" t="s">
        <v>2749</v>
      </c>
      <c r="G5" s="84" t="str">
        <f t="shared" si="0"/>
        <v>"ACID": {
  "Type": "2_ELEMENT",
  "Code": "ACID",
  "Name": "Acide",
  "Effect": "Acidifié",
  "EffectDescription": ""
 }</v>
      </c>
    </row>
    <row r="6" spans="1:7">
      <c r="A6" s="197" t="s">
        <v>2817</v>
      </c>
      <c r="B6" s="197" t="s">
        <v>2750</v>
      </c>
      <c r="C6" s="84" t="s">
        <v>2751</v>
      </c>
      <c r="D6" s="84" t="s">
        <v>2752</v>
      </c>
      <c r="G6" s="84" t="str">
        <f t="shared" si="0"/>
        <v>"FIRE": {
  "Type": "2_ELEMENT",
  "Code": "FIRE",
  "Name": "Feu",
  "Effect": "Brûlé",
  "EffectDescription": ""
 }</v>
      </c>
    </row>
    <row r="7" spans="1:7">
      <c r="A7" s="197" t="s">
        <v>2817</v>
      </c>
      <c r="B7" s="197" t="s">
        <v>2753</v>
      </c>
      <c r="C7" s="84" t="s">
        <v>2754</v>
      </c>
      <c r="D7" s="84" t="s">
        <v>2755</v>
      </c>
      <c r="G7" s="84" t="str">
        <f t="shared" si="0"/>
        <v>"LIGHTNING": {
  "Type": "2_ELEMENT",
  "Code": "LIGHTNING",
  "Name": "Foudre",
  "Effect": "Foudroyé",
  "EffectDescription": ""
 }</v>
      </c>
    </row>
    <row r="8" spans="1:7">
      <c r="A8" s="197" t="s">
        <v>2817</v>
      </c>
      <c r="B8" s="197" t="s">
        <v>2756</v>
      </c>
      <c r="C8" s="84" t="s">
        <v>2757</v>
      </c>
      <c r="D8" s="84" t="s">
        <v>2758</v>
      </c>
      <c r="G8" s="84" t="str">
        <f t="shared" si="0"/>
        <v>"COLD": {
  "Type": "2_ELEMENT",
  "Code": "COLD",
  "Name": "Froid",
  "Effect": "Gelé",
  "EffectDescription": ""
 }</v>
      </c>
    </row>
    <row r="9" spans="1:7">
      <c r="A9" s="198" t="s">
        <v>2818</v>
      </c>
      <c r="B9" s="198" t="s">
        <v>2744</v>
      </c>
      <c r="C9" s="84" t="s">
        <v>2745</v>
      </c>
      <c r="D9" s="84" t="s">
        <v>2746</v>
      </c>
      <c r="G9" s="84" t="str">
        <f t="shared" ref="G9:G23" si="1">""""&amp;B9&amp;""": {
  ""Type"": """&amp;A9&amp;""",
  ""Code"": """&amp;B9&amp;""",
  ""Name"": """&amp;C9&amp;""",
  ""Effect"": """&amp;D9&amp;""",
  ""EffectDescription"": """&amp;E9&amp;"""
 }"</f>
        <v>"STRESS": {
  "Type": "3_CONTEXT",
  "Code": "STRESS",
  "Name": "Stress",
  "Effect": "Stressé",
  "EffectDescription": ""
 }</v>
      </c>
    </row>
    <row r="10" spans="1:7" ht="17.25" customHeight="1">
      <c r="A10" s="203" t="s">
        <v>2818</v>
      </c>
      <c r="B10" s="198" t="s">
        <v>2762</v>
      </c>
      <c r="C10" s="84" t="s">
        <v>2154</v>
      </c>
      <c r="D10" s="84" t="s">
        <v>2763</v>
      </c>
      <c r="E10" s="193" t="s">
        <v>2764</v>
      </c>
      <c r="G10" s="84"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198" t="s">
        <v>2818</v>
      </c>
      <c r="B11" s="198" t="s">
        <v>2765</v>
      </c>
      <c r="C11" s="84" t="s">
        <v>2766</v>
      </c>
      <c r="D11" s="84" t="s">
        <v>2767</v>
      </c>
      <c r="G11" s="84" t="str">
        <f t="shared" si="1"/>
        <v>"PROVOCATION": {
  "Type": "3_CONTEXT",
  "Code": "PROVOCATION",
  "Name": "Provocation",
  "Effect": "Provoqué",
  "EffectDescription": ""
 }</v>
      </c>
    </row>
    <row r="12" spans="1:7" ht="17.25" customHeight="1">
      <c r="A12" s="203" t="s">
        <v>2818</v>
      </c>
      <c r="B12" s="198" t="s">
        <v>2768</v>
      </c>
      <c r="C12" s="84" t="s">
        <v>2769</v>
      </c>
      <c r="D12" s="84" t="s">
        <v>2770</v>
      </c>
      <c r="E12" s="193" t="s">
        <v>2771</v>
      </c>
      <c r="G12" s="84"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04" t="s">
        <v>2820</v>
      </c>
      <c r="B13" s="200" t="s">
        <v>2759</v>
      </c>
      <c r="C13" s="84" t="s">
        <v>2760</v>
      </c>
      <c r="D13" s="84" t="s">
        <v>2761</v>
      </c>
      <c r="G13" s="84" t="str">
        <f t="shared" si="1"/>
        <v>"BEWITCHMENT": {
  "Type": "4_MAGIC",
  "Code": "BEWITCHMENT",
  "Name": "Envoutement",
  "Effect": "Envouté",
  "EffectDescription": ""
 }</v>
      </c>
    </row>
    <row r="14" spans="1:7" ht="18.75" customHeight="1">
      <c r="A14" s="204" t="s">
        <v>2820</v>
      </c>
      <c r="B14" s="200" t="s">
        <v>2799</v>
      </c>
      <c r="C14" s="84" t="s">
        <v>1813</v>
      </c>
      <c r="D14" s="84" t="s">
        <v>2800</v>
      </c>
      <c r="E14" s="193" t="s">
        <v>2801</v>
      </c>
      <c r="G14" s="84"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05" t="s">
        <v>2819</v>
      </c>
      <c r="B15" s="84" t="s">
        <v>2779</v>
      </c>
      <c r="C15" s="84" t="s">
        <v>2780</v>
      </c>
      <c r="D15" s="84" t="s">
        <v>4067</v>
      </c>
      <c r="E15" s="84" t="s">
        <v>2781</v>
      </c>
      <c r="G15" s="84" t="str">
        <f t="shared" si="1"/>
        <v>"DEAFENED": {
  "Type": "5_SENSE",
  "Code": "DEAFENED",
  "Name": "Assourdissement",
  "Effect": "Assourdi",
  "EffectDescription": "Une créature assourdie n'entend pas et rate automatiquement tout jet de caractéristique qui nécessite l’ouïe."
 }</v>
      </c>
    </row>
    <row r="16" spans="1:7" ht="17.25" customHeight="1">
      <c r="A16" s="205" t="s">
        <v>2819</v>
      </c>
      <c r="B16" s="84" t="s">
        <v>2782</v>
      </c>
      <c r="C16" s="84" t="s">
        <v>2783</v>
      </c>
      <c r="D16" s="84" t="s">
        <v>4066</v>
      </c>
      <c r="E16" s="193" t="s">
        <v>2784</v>
      </c>
      <c r="G16" s="84" t="str">
        <f t="shared" si="1"/>
        <v>"BLINDED":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06" t="s">
        <v>2821</v>
      </c>
      <c r="B17" s="194" t="s">
        <v>2772</v>
      </c>
      <c r="C17" s="84" t="s">
        <v>2773</v>
      </c>
      <c r="D17" s="84" t="s">
        <v>2774</v>
      </c>
      <c r="E17" s="193" t="s">
        <v>2775</v>
      </c>
      <c r="G17" s="84"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06" t="s">
        <v>2821</v>
      </c>
      <c r="B18" s="194" t="s">
        <v>2776</v>
      </c>
      <c r="C18" s="84" t="s">
        <v>2777</v>
      </c>
      <c r="D18" s="84" t="s">
        <v>4068</v>
      </c>
      <c r="E18" s="193" t="s">
        <v>2778</v>
      </c>
      <c r="G18" s="84" t="str">
        <f t="shared" si="1"/>
        <v>"GRAPPLING":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06" t="s">
        <v>2821</v>
      </c>
      <c r="B19" s="194" t="s">
        <v>2785</v>
      </c>
      <c r="C19" s="84" t="s">
        <v>2786</v>
      </c>
      <c r="D19" s="84" t="s">
        <v>4069</v>
      </c>
      <c r="E19" s="193" t="s">
        <v>2787</v>
      </c>
      <c r="G19" s="84" t="str">
        <f t="shared" si="1"/>
        <v>"RESTRAINED":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06" t="s">
        <v>2821</v>
      </c>
      <c r="B20" s="194" t="s">
        <v>2802</v>
      </c>
      <c r="C20" s="84" t="s">
        <v>2151</v>
      </c>
      <c r="D20" s="84" t="s">
        <v>4070</v>
      </c>
      <c r="E20" s="193" t="s">
        <v>2803</v>
      </c>
      <c r="G20" s="84" t="str">
        <f t="shared" si="1"/>
        <v>"PETRIFIED":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06" t="s">
        <v>2821</v>
      </c>
      <c r="B21" s="194" t="s">
        <v>2788</v>
      </c>
      <c r="C21" s="84" t="s">
        <v>2789</v>
      </c>
      <c r="D21" s="84" t="s">
        <v>4071</v>
      </c>
      <c r="E21" s="84" t="s">
        <v>2790</v>
      </c>
      <c r="G21" s="84" t="str">
        <f t="shared" si="1"/>
        <v>"STUNNED":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06" t="s">
        <v>2821</v>
      </c>
      <c r="B22" s="194" t="s">
        <v>2795</v>
      </c>
      <c r="C22" s="84" t="s">
        <v>2796</v>
      </c>
      <c r="D22" s="84" t="s">
        <v>2797</v>
      </c>
      <c r="E22" s="193" t="s">
        <v>2798</v>
      </c>
      <c r="G22" s="84"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06" t="s">
        <v>2821</v>
      </c>
      <c r="B23" s="194" t="s">
        <v>2791</v>
      </c>
      <c r="C23" s="84" t="s">
        <v>2792</v>
      </c>
      <c r="D23" s="84" t="s">
        <v>2793</v>
      </c>
      <c r="E23" s="84" t="s">
        <v>2794</v>
      </c>
      <c r="G23" s="84" t="str">
        <f t="shared" si="1"/>
        <v>"INCAPACITATED": {
  "Type": "6_POSITION",
  "Code": "INCAPACITATED",
  "Name": "Incapacité",
  "Effect": "Incapable d'agir",
  "EffectDescription": "Une créature incapable d'agir ne peut effectuer aucune action ni aucune réaction."
 }</v>
      </c>
    </row>
    <row r="25" spans="1:7">
      <c r="G25" s="84"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84" t="s">
        <v>2806</v>
      </c>
      <c r="B26" s="84" t="s">
        <v>954</v>
      </c>
      <c r="C26" s="84" t="s">
        <v>2822</v>
      </c>
    </row>
    <row r="27" spans="1:7">
      <c r="A27" s="84" t="s">
        <v>2816</v>
      </c>
      <c r="B27" s="84" t="s">
        <v>2809</v>
      </c>
      <c r="C27" s="84" t="s">
        <v>2807</v>
      </c>
      <c r="E27" s="84" t="str">
        <f>""""&amp;A27&amp;""": {
  ""Code"": """&amp;A27&amp;""",
  ""Name"": """&amp;B27&amp;""",
  ""Savable"": "&amp;C27&amp;"
 }"</f>
        <v>"1_SUBSTANCE": {
  "Code": "1_SUBSTANCE",
  "Name": "Substance",
  "Savable": true
 }</v>
      </c>
    </row>
    <row r="28" spans="1:7">
      <c r="A28" s="84" t="s">
        <v>2817</v>
      </c>
      <c r="B28" s="84" t="s">
        <v>2811</v>
      </c>
      <c r="C28" s="84" t="s">
        <v>2807</v>
      </c>
      <c r="E28" s="84" t="str">
        <f t="shared" ref="E28:E32" si="2">""""&amp;A28&amp;""": {
  ""Code"": """&amp;A28&amp;""",
  ""Name"": """&amp;B28&amp;""",
  ""Savable"": "&amp;C28&amp;"
 }"</f>
        <v>"2_ELEMENT": {
  "Code": "2_ELEMENT",
  "Name": "Elément",
  "Savable": true
 }</v>
      </c>
    </row>
    <row r="29" spans="1:7">
      <c r="A29" s="84" t="s">
        <v>2818</v>
      </c>
      <c r="B29" s="84" t="s">
        <v>2812</v>
      </c>
      <c r="C29" s="84" t="s">
        <v>2807</v>
      </c>
      <c r="E29" s="84" t="str">
        <f t="shared" si="2"/>
        <v>"3_CONTEXT": {
  "Code": "3_CONTEXT",
  "Name": "Contexte",
  "Savable": true
 }</v>
      </c>
    </row>
    <row r="30" spans="1:7">
      <c r="A30" s="84" t="s">
        <v>2820</v>
      </c>
      <c r="B30" s="84" t="s">
        <v>2813</v>
      </c>
      <c r="C30" s="84" t="s">
        <v>2807</v>
      </c>
      <c r="E30" s="84" t="str">
        <f t="shared" si="2"/>
        <v>"4_MAGIC": {
  "Code": "4_MAGIC",
  "Name": "Magie",
  "Savable": true
 }</v>
      </c>
    </row>
    <row r="31" spans="1:7">
      <c r="A31" s="84" t="s">
        <v>2819</v>
      </c>
      <c r="B31" s="84" t="s">
        <v>2814</v>
      </c>
      <c r="C31" s="84" t="s">
        <v>2808</v>
      </c>
      <c r="E31" s="84" t="str">
        <f t="shared" si="2"/>
        <v>"5_SENSE": {
  "Code": "5_SENSE",
  "Name": "Sens",
  "Savable": false
 }</v>
      </c>
    </row>
    <row r="32" spans="1:7">
      <c r="A32" s="84" t="s">
        <v>2821</v>
      </c>
      <c r="B32" s="84" t="s">
        <v>2810</v>
      </c>
      <c r="C32" s="84" t="s">
        <v>2808</v>
      </c>
      <c r="E32" s="84" t="str">
        <f t="shared" si="2"/>
        <v>"6_POSITION": {
  "Code": "6_POSITION",
  "Name": "Position",
  "Savable": false
 }</v>
      </c>
    </row>
    <row r="34" spans="5:5">
      <c r="E34" s="84"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27982-814A-495C-B6EE-188A9993CE42}">
  <dimension ref="A1:H79"/>
  <sheetViews>
    <sheetView topLeftCell="B1" workbookViewId="0">
      <selection activeCell="H52" sqref="H52"/>
    </sheetView>
  </sheetViews>
  <sheetFormatPr baseColWidth="10" defaultRowHeight="15"/>
  <cols>
    <col min="1" max="2" width="24.28515625" customWidth="1"/>
    <col min="4" max="4" width="58.5703125" customWidth="1"/>
    <col min="5" max="6" width="24.28515625" customWidth="1"/>
    <col min="7" max="7" width="23.140625" customWidth="1"/>
    <col min="9" max="9" width="42.7109375" customWidth="1"/>
  </cols>
  <sheetData>
    <row r="1" spans="1:8">
      <c r="A1" s="307" t="s">
        <v>954</v>
      </c>
      <c r="B1" s="307" t="s">
        <v>5652</v>
      </c>
      <c r="E1" s="307" t="s">
        <v>5652</v>
      </c>
      <c r="F1" s="307" t="s">
        <v>954</v>
      </c>
      <c r="G1" s="307" t="s">
        <v>5666</v>
      </c>
    </row>
    <row r="2" spans="1:8">
      <c r="A2" s="315" t="s">
        <v>4111</v>
      </c>
      <c r="B2" s="315" t="s">
        <v>5713</v>
      </c>
      <c r="C2" t="str">
        <f>""""&amp;B2&amp;""": {
  ""Code"" : """&amp;B2&amp;""",
  ""Name"" : """&amp;A2&amp;"""   }"</f>
        <v>"ABERRATION": {
  "Code" : "ABERRATION",
  "Name" : "Aberration"   }</v>
      </c>
      <c r="E2" s="315" t="s">
        <v>5708</v>
      </c>
      <c r="F2" s="315" t="s">
        <v>261</v>
      </c>
      <c r="G2" s="315" t="s">
        <v>237</v>
      </c>
      <c r="H2" t="str">
        <f>""""&amp;G2&amp;""": {
  ""Code"" : """&amp;G2&amp;""",
  ""Name"" : """&amp;F2&amp;"""   }"</f>
        <v>"AARAKOCRA": {
  "Code" : "AARAKOCRA",
  "Name" : "Aarakocra"   }</v>
      </c>
    </row>
    <row r="3" spans="1:8">
      <c r="A3" s="316" t="s">
        <v>4128</v>
      </c>
      <c r="B3" s="316" t="s">
        <v>5712</v>
      </c>
      <c r="C3" t="str">
        <f t="shared" ref="C3:C17" si="0">""""&amp;B3&amp;""": {
  ""Code"" : """&amp;B3&amp;""",
  ""Name"" : """&amp;A3&amp;"""   }"</f>
        <v>"BEAST": {
  "Code" : "BEAST",
  "Name" : "Bête"   }</v>
      </c>
      <c r="E3" s="316" t="s">
        <v>5708</v>
      </c>
      <c r="F3" s="316" t="s">
        <v>4258</v>
      </c>
      <c r="G3" s="316" t="s">
        <v>5670</v>
      </c>
      <c r="H3" t="str">
        <f t="shared" ref="H3:H49" si="1">""""&amp;G3&amp;""": {
  ""Code"" : """&amp;G3&amp;""",
  ""Name"" : """&amp;F3&amp;"""   }"</f>
        <v>"BRUTAL": {
  "Code" : "BRUTAL",
  "Name" : "Brutacien"   }</v>
      </c>
    </row>
    <row r="4" spans="1:8">
      <c r="A4" s="316" t="s">
        <v>2598</v>
      </c>
      <c r="B4" s="316" t="s">
        <v>2684</v>
      </c>
      <c r="C4" t="str">
        <f t="shared" si="0"/>
        <v>"CELESTIAL": {
  "Code" : "CELESTIAL",
  "Name" : "Céleste"   }</v>
      </c>
      <c r="E4" s="316" t="s">
        <v>5708</v>
      </c>
      <c r="F4" s="316" t="s">
        <v>4281</v>
      </c>
      <c r="G4" s="316" t="s">
        <v>5669</v>
      </c>
      <c r="H4" t="str">
        <f t="shared" si="1"/>
        <v>"CHANGELIN": {
  "Code" : "CHANGELIN",
  "Name" : "Changelin"   }</v>
      </c>
    </row>
    <row r="5" spans="1:8">
      <c r="A5" s="316" t="s">
        <v>4181</v>
      </c>
      <c r="B5" s="316" t="s">
        <v>5714</v>
      </c>
      <c r="C5" t="str">
        <f t="shared" si="0"/>
        <v>"ARTIFICIAL_CREATURE": {
  "Code" : "ARTIFICIAL_CREATURE",
  "Name" : "Créature artificielle"   }</v>
      </c>
      <c r="E5" s="316" t="s">
        <v>5708</v>
      </c>
      <c r="F5" s="316" t="s">
        <v>5659</v>
      </c>
      <c r="G5" s="316" t="s">
        <v>5667</v>
      </c>
      <c r="H5" t="str">
        <f t="shared" si="1"/>
        <v>"HALF-ELF": {
  "Code" : "HALF-ELF",
  "Name" : "Demi-elfe"   }</v>
      </c>
    </row>
    <row r="6" spans="1:8">
      <c r="A6" s="316" t="s">
        <v>4121</v>
      </c>
      <c r="B6" s="316" t="s">
        <v>5715</v>
      </c>
      <c r="C6" t="str">
        <f t="shared" si="0"/>
        <v>"MONSTROUS_CREATURE": {
  "Code" : "MONSTROUS_CREATURE",
  "Name" : "Créature monstrueuse"   }</v>
      </c>
      <c r="E6" s="316" t="s">
        <v>5707</v>
      </c>
      <c r="F6" s="316" t="s">
        <v>5656</v>
      </c>
      <c r="G6" s="316" t="s">
        <v>5668</v>
      </c>
      <c r="H6" t="str">
        <f t="shared" si="1"/>
        <v>"DAEMON": {
  "Code" : "DAEMON",
  "Name" : "Démon"   }</v>
      </c>
    </row>
    <row r="7" spans="1:8">
      <c r="A7" s="316" t="s">
        <v>4451</v>
      </c>
      <c r="B7" s="316" t="s">
        <v>5705</v>
      </c>
      <c r="C7" t="str">
        <f t="shared" si="0"/>
        <v>"DRAGON": {
  "Code" : "DRAGON",
  "Name" : "Dragon"   }</v>
      </c>
      <c r="E7" s="316" t="s">
        <v>5708</v>
      </c>
      <c r="F7" s="316" t="s">
        <v>4402</v>
      </c>
      <c r="G7" s="316" t="s">
        <v>5671</v>
      </c>
      <c r="H7" t="str">
        <f t="shared" si="1"/>
        <v>"DERRO": {
  "Code" : "DERRO",
  "Name" : "Derro"   }</v>
      </c>
    </row>
    <row r="8" spans="1:8">
      <c r="A8" s="316" t="s">
        <v>4189</v>
      </c>
      <c r="B8" s="316" t="s">
        <v>5716</v>
      </c>
      <c r="C8" t="str">
        <f t="shared" si="0"/>
        <v>"ELEMENTARY": {
  "Code" : "ELEMENTARY",
  "Name" : "Élémentaire"   }</v>
      </c>
      <c r="E8" s="316" t="s">
        <v>5707</v>
      </c>
      <c r="F8" s="316" t="s">
        <v>5657</v>
      </c>
      <c r="G8" s="316" t="s">
        <v>5672</v>
      </c>
      <c r="H8" t="str">
        <f t="shared" si="1"/>
        <v>"DEVIL": {
  "Code" : "DEVIL",
  "Name" : "Diable"   }</v>
      </c>
    </row>
    <row r="9" spans="1:8">
      <c r="A9" s="316" t="s">
        <v>4253</v>
      </c>
      <c r="B9" s="316" t="s">
        <v>5706</v>
      </c>
      <c r="C9" t="str">
        <f t="shared" si="0"/>
        <v>"FAIRY": {
  "Code" : "FAIRY",
  "Name" : "Fée"   }</v>
      </c>
      <c r="E9" s="316" t="s">
        <v>5706</v>
      </c>
      <c r="F9" s="316" t="s">
        <v>297</v>
      </c>
      <c r="G9" s="316" t="s">
        <v>230</v>
      </c>
      <c r="H9" t="str">
        <f t="shared" si="1"/>
        <v>"ELF": {
  "Code" : "ELF",
  "Name" : "Elfe"   }</v>
      </c>
    </row>
    <row r="10" spans="1:8">
      <c r="A10" s="316" t="s">
        <v>2914</v>
      </c>
      <c r="B10" s="316" t="s">
        <v>5707</v>
      </c>
      <c r="C10" t="str">
        <f t="shared" si="0"/>
        <v>"FIEND": {
  "Code" : "FIEND",
  "Name" : "Fiélon"   }</v>
      </c>
      <c r="E10" s="316" t="s">
        <v>5708</v>
      </c>
      <c r="F10" s="316" t="s">
        <v>4674</v>
      </c>
      <c r="G10" s="316" t="s">
        <v>5673</v>
      </c>
      <c r="H10" t="str">
        <f t="shared" si="1"/>
        <v>"FERAL": {
  "Code" : "FERAL",
  "Name" : "Féral"   }</v>
      </c>
    </row>
    <row r="11" spans="1:8">
      <c r="A11" s="316" t="s">
        <v>2584</v>
      </c>
      <c r="B11" s="316" t="s">
        <v>2679</v>
      </c>
      <c r="C11" t="str">
        <f t="shared" si="0"/>
        <v>"GIANT": {
  "Code" : "GIANT",
  "Name" : "Géant"   }</v>
      </c>
      <c r="E11" s="316" t="s">
        <v>5708</v>
      </c>
      <c r="F11" s="316" t="s">
        <v>5660</v>
      </c>
      <c r="G11" s="316" t="s">
        <v>5740</v>
      </c>
      <c r="H11" t="str">
        <f t="shared" si="1"/>
        <v>"WARFORGED": {
  "Code" : "WARFORGED",
  "Name" : "Forgelier"   }</v>
      </c>
    </row>
    <row r="12" spans="1:8">
      <c r="A12" s="316" t="s">
        <v>4703</v>
      </c>
      <c r="B12" s="316" t="s">
        <v>5708</v>
      </c>
      <c r="C12" t="str">
        <f t="shared" si="0"/>
        <v>"HUMANOID": {
  "Code" : "HUMANOID",
  "Name" : "Humanoïde"   }</v>
      </c>
      <c r="E12" s="316" t="s">
        <v>2679</v>
      </c>
      <c r="F12" s="316" t="s">
        <v>4716</v>
      </c>
      <c r="G12" s="316" t="s">
        <v>5674</v>
      </c>
      <c r="H12" t="str">
        <f t="shared" si="1"/>
        <v>"GIANT_HILLS": {
  "Code" : "GIANT_HILLS",
  "Name" : "Géant des collines"   }</v>
      </c>
    </row>
    <row r="13" spans="1:8">
      <c r="A13" s="316" t="s">
        <v>4117</v>
      </c>
      <c r="B13" s="316" t="s">
        <v>5709</v>
      </c>
      <c r="C13" t="str">
        <f t="shared" si="0"/>
        <v>"UNDEAD": {
  "Code" : "UNDEAD",
  "Name" : "Mort-vivant"   }</v>
      </c>
      <c r="E13" s="316" t="s">
        <v>2679</v>
      </c>
      <c r="F13" s="316" t="s">
        <v>4720</v>
      </c>
      <c r="G13" s="316" t="s">
        <v>5675</v>
      </c>
      <c r="H13" t="str">
        <f t="shared" si="1"/>
        <v>"GIANT_CLOUDS": {
  "Code" : "GIANT_CLOUDS",
  "Name" : "Géant des nuages"   }</v>
      </c>
    </row>
    <row r="14" spans="1:8">
      <c r="A14" s="316" t="s">
        <v>5725</v>
      </c>
      <c r="B14" s="316" t="s">
        <v>5717</v>
      </c>
      <c r="C14" t="str">
        <f t="shared" si="0"/>
        <v>"CLOUD_BEASTS": {
  "Code" : "CLOUD_BEASTS",
  "Name" : "Nuée de bêtes"   }</v>
      </c>
      <c r="E14" s="316" t="s">
        <v>2679</v>
      </c>
      <c r="F14" s="316" t="s">
        <v>4725</v>
      </c>
      <c r="G14" s="316" t="s">
        <v>5676</v>
      </c>
      <c r="H14" t="str">
        <f t="shared" si="1"/>
        <v>"GIANT_STONES": {
  "Code" : "GIANT_STONES",
  "Name" : "Géant des pierres"   }</v>
      </c>
    </row>
    <row r="15" spans="1:8">
      <c r="A15" s="316" t="s">
        <v>5724</v>
      </c>
      <c r="B15" s="316" t="s">
        <v>5718</v>
      </c>
      <c r="C15" t="str">
        <f t="shared" si="0"/>
        <v>"CLOUD_HUMANOID": {
  "Code" : "CLOUD_HUMANOID",
  "Name" : "Nuée d'humanoïdes"   }</v>
      </c>
      <c r="E15" s="316" t="s">
        <v>2679</v>
      </c>
      <c r="F15" s="316" t="s">
        <v>4730</v>
      </c>
      <c r="G15" s="316" t="s">
        <v>5677</v>
      </c>
      <c r="H15" t="str">
        <f t="shared" si="1"/>
        <v>"GIANT_STORMS": {
  "Code" : "GIANT_STORMS",
  "Name" : "Géant des tempêtes"   }</v>
      </c>
    </row>
    <row r="16" spans="1:8">
      <c r="A16" s="316" t="s">
        <v>4167</v>
      </c>
      <c r="B16" s="316" t="s">
        <v>5711</v>
      </c>
      <c r="C16" t="str">
        <f t="shared" si="0"/>
        <v>"PLANT": {
  "Code" : "PLANT",
  "Name" : "Plante"   }</v>
      </c>
      <c r="E16" s="316" t="s">
        <v>2679</v>
      </c>
      <c r="F16" s="316" t="s">
        <v>4735</v>
      </c>
      <c r="G16" s="316" t="s">
        <v>5678</v>
      </c>
      <c r="H16" t="str">
        <f t="shared" si="1"/>
        <v>"GIANT_FIRE": {
  "Code" : "GIANT_FIRE",
  "Name" : "Géant du feu"   }</v>
      </c>
    </row>
    <row r="17" spans="1:8">
      <c r="A17" s="317" t="s">
        <v>4376</v>
      </c>
      <c r="B17" s="317" t="s">
        <v>5710</v>
      </c>
      <c r="C17" t="str">
        <f t="shared" si="0"/>
        <v>"MUD": {
  "Code" : "MUD",
  "Name" : "Vase"   }</v>
      </c>
      <c r="E17" s="316" t="s">
        <v>2679</v>
      </c>
      <c r="F17" s="316" t="s">
        <v>4740</v>
      </c>
      <c r="G17" s="316" t="s">
        <v>5679</v>
      </c>
      <c r="H17" t="str">
        <f t="shared" si="1"/>
        <v>"GIANT_FROSTED": {
  "Code" : "GIANT_FROSTED",
  "Name" : "Géant du givre"   }</v>
      </c>
    </row>
    <row r="18" spans="1:8">
      <c r="E18" s="316" t="s">
        <v>5708</v>
      </c>
      <c r="F18" s="316" t="s">
        <v>5661</v>
      </c>
      <c r="G18" s="316" t="s">
        <v>5680</v>
      </c>
      <c r="H18" t="str">
        <f t="shared" si="1"/>
        <v>"GITH": {
  "Code" : "GITH",
  "Name" : "Gith"   }</v>
      </c>
    </row>
    <row r="19" spans="1:8">
      <c r="C19" t="str">
        <f>CONCATENATE(C2,",
",C3,",
",C4,",
",C5,",
",C6,",
",C7,",
",C8,",
",C9,",
",C10,",
",C11,",
",C12,",
",C13,",
",C14,",
",C15,",
",C16,",
",C17)</f>
        <v>"ABERRATION": {
  "Code" : "ABERRATION",
  "Name" : "Aberration"   },
"BEAST": {
  "Code" : "BEAST",
  "Name" : "Bête"   },
"CELESTIAL": {
  "Code" : "CELESTIAL",
  "Name" : "Céleste"   },
"ARTIFICIAL_CREATURE": {
  "Code" : "ARTIFICIAL_CREATURE",
  "Name" : "Créature artificielle"   },
"MONSTROUS_CREATURE": {
  "Code" : "MONSTROUS_CREATURE",
  "Name" : "Créature monstrueuse"   },
"DRAGON": {
  "Code" : "DRAGON",
  "Name" : "Dragon"   },
"ELEMENTARY": {
  "Code" : "ELEMENTARY",
  "Name" : "Élémentaire"   },
"FAIRY": {
  "Code" : "FAIRY",
  "Name" : "Fée"   },
"FIEND": {
  "Code" : "FIEND",
  "Name" : "Fiélon"   },
"GIANT": {
  "Code" : "GIANT",
  "Name" : "Géant"   },
"HUMANOID": {
  "Code" : "HUMANOID",
  "Name" : "Humanoïde"   },
"UNDEAD": {
  "Code" : "UNDEAD",
  "Name" : "Mort-vivant"   },
"CLOUD_BEASTS": {
  "Code" : "CLOUD_BEASTS",
  "Name" : "Nuée de bêtes"   },
"CLOUD_HUMANOID": {
  "Code" : "CLOUD_HUMANOID",
  "Name" : "Nuée d'humanoïdes"   },
"PLANT": {
  "Code" : "PLANT",
  "Name" : "Plante"   },
"MUD": {
  "Code" : "MUD",
  "Name" : "Vase"   }</v>
      </c>
      <c r="E19" s="316" t="s">
        <v>5708</v>
      </c>
      <c r="F19" s="316" t="s">
        <v>4774</v>
      </c>
      <c r="G19" s="316" t="s">
        <v>5681</v>
      </c>
      <c r="H19" t="str">
        <f t="shared" si="1"/>
        <v>"GNOLL": {
  "Code" : "GNOLL",
  "Name" : "Gnoll"   }</v>
      </c>
    </row>
    <row r="20" spans="1:8">
      <c r="E20" s="316" t="s">
        <v>5708</v>
      </c>
      <c r="F20" s="316" t="s">
        <v>259</v>
      </c>
      <c r="G20" s="316" t="s">
        <v>5</v>
      </c>
      <c r="H20" t="str">
        <f t="shared" si="1"/>
        <v>"GNOME": {
  "Code" : "GNOME",
  "Name" : "Gnome"   }</v>
      </c>
    </row>
    <row r="21" spans="1:8">
      <c r="E21" s="316" t="s">
        <v>5708</v>
      </c>
      <c r="F21" s="316" t="s">
        <v>5662</v>
      </c>
      <c r="G21" s="316" t="s">
        <v>5682</v>
      </c>
      <c r="H21" t="str">
        <f t="shared" si="1"/>
        <v>"GOBELINOID": {
  "Code" : "GOBELINOID",
  "Name" : "Gobelinoïde"   }</v>
      </c>
    </row>
    <row r="22" spans="1:8">
      <c r="E22" s="316" t="s">
        <v>5708</v>
      </c>
      <c r="F22" s="316" t="s">
        <v>4836</v>
      </c>
      <c r="G22" s="316" t="s">
        <v>5683</v>
      </c>
      <c r="H22" t="str">
        <f t="shared" si="1"/>
        <v>"GRUNG": {
  "Code" : "GRUNG",
  "Name" : "Grung"   }</v>
      </c>
    </row>
    <row r="23" spans="1:8">
      <c r="E23" s="316" t="s">
        <v>5708</v>
      </c>
      <c r="F23" s="316" t="s">
        <v>253</v>
      </c>
      <c r="G23" s="316" t="s">
        <v>4</v>
      </c>
      <c r="H23" t="str">
        <f t="shared" si="1"/>
        <v>"HALFELIN": {
  "Code" : "HALFELIN",
  "Name" : "Halfelin"   }</v>
      </c>
    </row>
    <row r="24" spans="1:8">
      <c r="E24" s="316" t="s">
        <v>5708</v>
      </c>
      <c r="F24" s="316" t="s">
        <v>4883</v>
      </c>
      <c r="G24" s="316" t="s">
        <v>5684</v>
      </c>
      <c r="H24" t="str">
        <f t="shared" si="1"/>
        <v>"LIZARD_MAN": {
  "Code" : "LIZARD_MAN",
  "Name" : "Homme-lézard"   }</v>
      </c>
    </row>
    <row r="25" spans="1:8">
      <c r="E25" s="316" t="s">
        <v>5708</v>
      </c>
      <c r="F25" s="316" t="s">
        <v>4888</v>
      </c>
      <c r="G25" s="316" t="s">
        <v>5685</v>
      </c>
      <c r="H25" t="str">
        <f t="shared" si="1"/>
        <v>"FISH_MAN": {
  "Code" : "FISH_MAN",
  "Name" : "Homme-poisson"   }</v>
      </c>
    </row>
    <row r="26" spans="1:8">
      <c r="E26" s="316" t="s">
        <v>5708</v>
      </c>
      <c r="F26" s="316" t="s">
        <v>265</v>
      </c>
      <c r="G26" s="316" t="s">
        <v>231</v>
      </c>
      <c r="H26" t="str">
        <f t="shared" si="1"/>
        <v>"HUMAN": {
  "Code" : "HUMAN",
  "Name" : "Humain"   }</v>
      </c>
    </row>
    <row r="27" spans="1:8">
      <c r="E27" s="316"/>
      <c r="F27" s="316" t="s">
        <v>5654</v>
      </c>
      <c r="G27" s="316" t="s">
        <v>5686</v>
      </c>
      <c r="H27" t="str">
        <f t="shared" si="1"/>
        <v>"INEVITABLE": {
  "Code" : "INEVITABLE",
  "Name" : "Inévitable"   }</v>
      </c>
    </row>
    <row r="28" spans="1:8">
      <c r="E28" s="316" t="s">
        <v>5708</v>
      </c>
      <c r="F28" s="316" t="s">
        <v>4918</v>
      </c>
      <c r="G28" s="316" t="s">
        <v>5687</v>
      </c>
      <c r="H28" t="str">
        <f t="shared" si="1"/>
        <v>"KALASHTAR": {
  "Code" : "KALASHTAR",
  "Name" : "Kalashtar"   }</v>
      </c>
    </row>
    <row r="29" spans="1:8">
      <c r="E29" s="316" t="s">
        <v>5708</v>
      </c>
      <c r="F29" s="316" t="s">
        <v>4920</v>
      </c>
      <c r="G29" s="316" t="s">
        <v>5688</v>
      </c>
      <c r="H29" t="str">
        <f t="shared" si="1"/>
        <v>"KENKU": {
  "Code" : "KENKU",
  "Name" : "Kenku"   }</v>
      </c>
    </row>
    <row r="30" spans="1:8">
      <c r="E30" s="316" t="s">
        <v>5708</v>
      </c>
      <c r="F30" s="316" t="s">
        <v>4923</v>
      </c>
      <c r="G30" s="316" t="s">
        <v>5689</v>
      </c>
      <c r="H30" t="str">
        <f t="shared" si="1"/>
        <v>"KEBOLD": {
  "Code" : "KEBOLD",
  "Name" : "Kobold"   }</v>
      </c>
    </row>
    <row r="31" spans="1:8">
      <c r="E31" s="316" t="s">
        <v>5708</v>
      </c>
      <c r="F31" s="316" t="s">
        <v>4941</v>
      </c>
      <c r="G31" s="316" t="s">
        <v>4941</v>
      </c>
      <c r="H31" t="str">
        <f t="shared" si="1"/>
        <v>"Kuo-toa": {
  "Code" : "Kuo-toa",
  "Name" : "Kuo-toa"   }</v>
      </c>
    </row>
    <row r="32" spans="1:8">
      <c r="E32" s="316" t="s">
        <v>5708</v>
      </c>
      <c r="F32" s="316" t="s">
        <v>5056</v>
      </c>
      <c r="G32" s="316" t="s">
        <v>5690</v>
      </c>
      <c r="H32" t="str">
        <f t="shared" si="1"/>
        <v>"MEAZEL": {
  "Code" : "MEAZEL",
  "Name" : "Meazel"   }</v>
      </c>
    </row>
    <row r="33" spans="5:8">
      <c r="E33" s="316"/>
      <c r="F33" s="316" t="s">
        <v>3663</v>
      </c>
      <c r="G33" s="316" t="s">
        <v>5691</v>
      </c>
      <c r="H33" t="str">
        <f t="shared" si="1"/>
        <v>"METAMORPH": {
  "Code" : "METAMORPH",
  "Name" : "Métamorphe"   }</v>
      </c>
    </row>
    <row r="34" spans="5:8">
      <c r="E34" s="316" t="s">
        <v>5708</v>
      </c>
      <c r="F34" s="316" t="s">
        <v>5125</v>
      </c>
      <c r="G34" s="316" t="s">
        <v>5692</v>
      </c>
      <c r="H34" t="str">
        <f t="shared" si="1"/>
        <v>"NAGPA": {
  "Code" : "NAGPA",
  "Name" : "Nagpa"   }</v>
      </c>
    </row>
    <row r="35" spans="5:8">
      <c r="E35" s="316" t="s">
        <v>5708</v>
      </c>
      <c r="F35" s="316" t="s">
        <v>266</v>
      </c>
      <c r="G35" s="316" t="s">
        <v>232</v>
      </c>
      <c r="H35" t="str">
        <f t="shared" si="1"/>
        <v>"DWARF": {
  "Code" : "DWARF",
  "Name" : "Nain"   }</v>
      </c>
    </row>
    <row r="36" spans="5:8">
      <c r="E36" s="316" t="s">
        <v>5708</v>
      </c>
      <c r="F36" s="316" t="s">
        <v>320</v>
      </c>
      <c r="G36" s="316" t="s">
        <v>325</v>
      </c>
      <c r="H36" t="str">
        <f t="shared" si="1"/>
        <v>"MONTAINS_DWARF": {
  "Code" : "MONTAINS_DWARF",
  "Name" : "Nain des montagnes"   }</v>
      </c>
    </row>
    <row r="37" spans="5:8">
      <c r="E37" s="316" t="s">
        <v>5708</v>
      </c>
      <c r="F37" s="316" t="s">
        <v>2591</v>
      </c>
      <c r="G37" s="316" t="s">
        <v>2681</v>
      </c>
      <c r="H37" t="str">
        <f t="shared" si="1"/>
        <v>"ORC": {
  "Code" : "ORC",
  "Name" : "Orque"   }</v>
      </c>
    </row>
    <row r="38" spans="5:8">
      <c r="E38" s="316" t="s">
        <v>5708</v>
      </c>
      <c r="F38" s="316" t="s">
        <v>5278</v>
      </c>
      <c r="G38" s="316" t="s">
        <v>5693</v>
      </c>
      <c r="H38" t="str">
        <f t="shared" si="1"/>
        <v>"QUAGGOTH": {
  "Code" : "QUAGGOTH",
  "Name" : "Quaggoth"   }</v>
      </c>
    </row>
    <row r="39" spans="5:8">
      <c r="E39" s="316" t="s">
        <v>5708</v>
      </c>
      <c r="F39" s="316" t="s">
        <v>5663</v>
      </c>
      <c r="G39" s="316" t="s">
        <v>5694</v>
      </c>
      <c r="H39" t="str">
        <f t="shared" si="1"/>
        <v>"SAHUAGIN": {
  "Code" : "SAHUAGIN",
  "Name" : "sahuagin"   }</v>
      </c>
    </row>
    <row r="40" spans="5:8">
      <c r="E40" s="316" t="s">
        <v>5708</v>
      </c>
      <c r="F40" s="316" t="s">
        <v>5664</v>
      </c>
      <c r="G40" s="316" t="s">
        <v>5695</v>
      </c>
      <c r="H40" t="str">
        <f t="shared" si="1"/>
        <v>"TABAXI": {
  "Code" : "TABAXI",
  "Name" : "Tabaxi"   }</v>
      </c>
    </row>
    <row r="41" spans="5:8">
      <c r="E41" s="316" t="s">
        <v>5708</v>
      </c>
      <c r="F41" s="316" t="s">
        <v>5488</v>
      </c>
      <c r="G41" s="316" t="s">
        <v>5696</v>
      </c>
      <c r="H41" t="str">
        <f t="shared" si="1"/>
        <v>"THRI_KREEN": {
  "Code" : "THRI_KREEN",
  "Name" : "Thri-kreen"   }</v>
      </c>
    </row>
    <row r="42" spans="5:8">
      <c r="E42" s="316" t="s">
        <v>2684</v>
      </c>
      <c r="F42" s="316" t="s">
        <v>5653</v>
      </c>
      <c r="G42" s="316" t="s">
        <v>5697</v>
      </c>
      <c r="H42" t="str">
        <f t="shared" si="1"/>
        <v>"TITAN": {
  "Code" : "TITAN",
  "Name" : "Titan"   }</v>
      </c>
    </row>
    <row r="43" spans="5:8">
      <c r="E43" s="316" t="s">
        <v>5708</v>
      </c>
      <c r="F43" s="316" t="s">
        <v>5501</v>
      </c>
      <c r="G43" s="316" t="s">
        <v>5698</v>
      </c>
      <c r="H43" t="str">
        <f t="shared" si="1"/>
        <v>"TORTUGA": {
  "Code" : "TORTUGA",
  "Name" : "Tortuga"   }</v>
      </c>
    </row>
    <row r="44" spans="5:8">
      <c r="E44" s="316" t="s">
        <v>5708</v>
      </c>
      <c r="F44" s="316" t="s">
        <v>5506</v>
      </c>
      <c r="G44" s="316" t="s">
        <v>5699</v>
      </c>
      <c r="H44" t="str">
        <f t="shared" si="1"/>
        <v>"TORVE": {
  "Code" : "TORVE",
  "Name" : "Torve"   }</v>
      </c>
    </row>
    <row r="45" spans="5:8">
      <c r="E45" s="316" t="s">
        <v>5708</v>
      </c>
      <c r="F45" s="316" t="s">
        <v>5665</v>
      </c>
      <c r="G45" s="316" t="s">
        <v>5700</v>
      </c>
      <c r="H45" t="str">
        <f t="shared" si="1"/>
        <v>"FIRE_NEWT": {
  "Code" : "FIRE_NEWT",
  "Name" : "Triton du feu"   }</v>
      </c>
    </row>
    <row r="46" spans="5:8">
      <c r="E46" s="316" t="s">
        <v>5708</v>
      </c>
      <c r="F46" s="316" t="s">
        <v>5526</v>
      </c>
      <c r="G46" s="316" t="s">
        <v>5701</v>
      </c>
      <c r="H46" t="str">
        <f t="shared" si="1"/>
        <v>"TROGLODYTE": {
  "Code" : "TROGLODYTE",
  "Name" : "Troglodyte"   }</v>
      </c>
    </row>
    <row r="47" spans="5:8">
      <c r="E47" s="316" t="s">
        <v>5708</v>
      </c>
      <c r="F47" s="316" t="s">
        <v>5583</v>
      </c>
      <c r="G47" s="316" t="s">
        <v>5702</v>
      </c>
      <c r="H47" t="str">
        <f t="shared" si="1"/>
        <v>"XVART": {
  "Code" : "XVART",
  "Name" : "Xvart"   }</v>
      </c>
    </row>
    <row r="48" spans="5:8">
      <c r="E48" s="316" t="s">
        <v>5715</v>
      </c>
      <c r="F48" s="316" t="s">
        <v>5655</v>
      </c>
      <c r="G48" s="316" t="s">
        <v>5703</v>
      </c>
      <c r="H48" t="str">
        <f t="shared" si="1"/>
        <v>"YUAN_TI": {
  "Code" : "YUAN_TI",
  "Name" : "Yuan-ti"   }</v>
      </c>
    </row>
    <row r="49" spans="5:8">
      <c r="E49" s="317" t="s">
        <v>5707</v>
      </c>
      <c r="F49" s="317" t="s">
        <v>5658</v>
      </c>
      <c r="G49" s="317" t="s">
        <v>5704</v>
      </c>
      <c r="H49" t="str">
        <f t="shared" si="1"/>
        <v>"YUGOLOTH": {
  "Code" : "YUGOLOTH",
  "Name" : "Yugoloth"   }</v>
      </c>
    </row>
    <row r="51" spans="5:8">
      <c r="H51" t="str">
        <f>CONCATENATE(H2,",
",H3,",
",H4,",
",H5,",
",H6,",
",H7,",
",H8,",
",H9,",
",H10,",
",H11,",
",H12,",
",H13,",
",H14,",
",H15,",
",H16,",
",H17,",
",H18,",
",H19,",
",H20,",
",H21,",
",H22,",
",H23,",
",H24,",
",H25,",
",H26,",
",H27,",
",H28,",
",H29,",
",H30,",
",H31,",
",H32,",
",H33,",
",H34,",
",H35,",
",H36,",
",H37,",
",H38,",
",H39,",
",H40,",
",H41,",
",H42,",
",H43,",
",H44,",
",H45,",
",H46,",
",H47,",
",H48,",
",H49)</f>
        <v>"AARAKOCRA": {
  "Code" : "AARAKOCRA",
  "Name" : "Aarakocra"   },
"BRUTAL": {
  "Code" : "BRUTAL",
  "Name" : "Brutacien"   },
"CHANGELIN": {
  "Code" : "CHANGELIN",
  "Name" : "Changelin"   },
"HALF-ELF": {
  "Code" : "HALF-ELF",
  "Name" : "Demi-elfe"   },
"DAEMON": {
  "Code" : "DAEMON",
  "Name" : "Démon"   },
"DERRO": {
  "Code" : "DERRO",
  "Name" : "Derro"   },
"DEVIL": {
  "Code" : "DEVIL",
  "Name" : "Diable"   },
"ELF": {
  "Code" : "ELF",
  "Name" : "Elfe"   },
"FERAL": {
  "Code" : "FERAL",
  "Name" : "Féral"   },
"WARFORGED": {
  "Code" : "WARFORGED",
  "Name" : "Forgelier"   },
"GIANT_HILLS": {
  "Code" : "GIANT_HILLS",
  "Name" : "Géant des collines"   },
"GIANT_CLOUDS": {
  "Code" : "GIANT_CLOUDS",
  "Name" : "Géant des nuages"   },
"GIANT_STONES": {
  "Code" : "GIANT_STONES",
  "Name" : "Géant des pierres"   },
"GIANT_STORMS": {
  "Code" : "GIANT_STORMS",
  "Name" : "Géant des tempêtes"   },
"GIANT_FIRE": {
  "Code" : "GIANT_FIRE",
  "Name" : "Géant du feu"   },
"GIANT_FROSTED": {
  "Code" : "GIANT_FROSTED",
  "Name" : "Géant du givre"   },
"GITH": {
  "Code" : "GITH",
  "Name" : "Gith"   },
"GNOLL": {
  "Code" : "GNOLL",
  "Name" : "Gnoll"   },
"GNOME": {
  "Code" : "GNOME",
  "Name" : "Gnome"   },
"GOBELINOID": {
  "Code" : "GOBELINOID",
  "Name" : "Gobelinoïde"   },
"GRUNG": {
  "Code" : "GRUNG",
  "Name" : "Grung"   },
"HALFELIN": {
  "Code" : "HALFELIN",
  "Name" : "Halfelin"   },
"LIZARD_MAN": {
  "Code" : "LIZARD_MAN",
  "Name" : "Homme-lézard"   },
"FISH_MAN": {
  "Code" : "FISH_MAN",
  "Name" : "Homme-poisson"   },
"HUMAN": {
  "Code" : "HUMAN",
  "Name" : "Humain"   },
"INEVITABLE": {
  "Code" : "INEVITABLE",
  "Name" : "Inévitable"   },
"KALASHTAR": {
  "Code" : "KALASHTAR",
  "Name" : "Kalashtar"   },
"KENKU": {
  "Code" : "KENKU",
  "Name" : "Kenku"   },
"KEBOLD": {
  "Code" : "KEBOLD",
  "Name" : "Kobold"   },
"Kuo-toa": {
  "Code" : "Kuo-toa",
  "Name" : "Kuo-toa"   },
"MEAZEL": {
  "Code" : "MEAZEL",
  "Name" : "Meazel"   },
"METAMORPH": {
  "Code" : "METAMORPH",
  "Name" : "Métamorphe"   },
"NAGPA": {
  "Code" : "NAGPA",
  "Name" : "Nagpa"   },
"DWARF": {
  "Code" : "DWARF",
  "Name" : "Nain"   },
"MONTAINS_DWARF": {
  "Code" : "MONTAINS_DWARF",
  "Name" : "Nain des montagnes"   },
"ORC": {
  "Code" : "ORC",
  "Name" : "Orque"   },
"QUAGGOTH": {
  "Code" : "QUAGGOTH",
  "Name" : "Quaggoth"   },
"SAHUAGIN": {
  "Code" : "SAHUAGIN",
  "Name" : "sahuagin"   },
"TABAXI": {
  "Code" : "TABAXI",
  "Name" : "Tabaxi"   },
"THRI_KREEN": {
  "Code" : "THRI_KREEN",
  "Name" : "Thri-kreen"   },
"TITAN": {
  "Code" : "TITAN",
  "Name" : "Titan"   },
"TORTUGA": {
  "Code" : "TORTUGA",
  "Name" : "Tortuga"   },
"TORVE": {
  "Code" : "TORVE",
  "Name" : "Torve"   },
"FIRE_NEWT": {
  "Code" : "FIRE_NEWT",
  "Name" : "Triton du feu"   },
"TROGLODYTE": {
  "Code" : "TROGLODYTE",
  "Name" : "Troglodyte"   },
"XVART": {
  "Code" : "XVART",
  "Name" : "Xvart"   },
"YUAN_TI": {
  "Code" : "YUAN_TI",
  "Name" : "Yuan-ti"   },
"YUGOLOTH": {
  "Code" : "YUGOLOTH",
  "Name" : "Yugoloth"   }</v>
      </c>
    </row>
    <row r="53" spans="5:8">
      <c r="E53" s="61"/>
      <c r="F53" s="61"/>
      <c r="G53" s="61"/>
    </row>
    <row r="54" spans="5:8">
      <c r="E54" s="61"/>
      <c r="F54" s="61"/>
      <c r="G54" s="61"/>
    </row>
    <row r="55" spans="5:8">
      <c r="E55" s="318"/>
      <c r="F55" s="318"/>
      <c r="G55" s="318"/>
    </row>
    <row r="56" spans="5:8">
      <c r="E56" s="318"/>
      <c r="F56" s="318"/>
      <c r="G56" s="318"/>
    </row>
    <row r="57" spans="5:8">
      <c r="E57" s="318"/>
      <c r="F57" s="318"/>
      <c r="G57" s="318"/>
    </row>
    <row r="58" spans="5:8">
      <c r="E58" s="318"/>
      <c r="F58" s="318"/>
      <c r="G58" s="318"/>
    </row>
    <row r="59" spans="5:8">
      <c r="E59" s="318"/>
      <c r="F59" s="318"/>
      <c r="G59" s="318"/>
    </row>
    <row r="60" spans="5:8">
      <c r="E60" s="298"/>
      <c r="F60" s="298"/>
      <c r="G60" s="298"/>
    </row>
    <row r="78" spans="5:7">
      <c r="E78" s="298"/>
      <c r="F78" s="298"/>
      <c r="G78" s="298"/>
    </row>
    <row r="79" spans="5:7">
      <c r="E79" s="297"/>
      <c r="F79" s="297"/>
      <c r="G79" s="297"/>
    </row>
  </sheetData>
  <sortState xmlns:xlrd2="http://schemas.microsoft.com/office/spreadsheetml/2017/richdata2" ref="E2:E54">
    <sortCondition ref="E2"/>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4BCDD-715C-4094-A1DF-EDEF59884F4B}">
  <dimension ref="A1:P861"/>
  <sheetViews>
    <sheetView topLeftCell="J814" workbookViewId="0">
      <selection activeCell="P832" sqref="P832"/>
    </sheetView>
  </sheetViews>
  <sheetFormatPr baseColWidth="10" defaultRowHeight="15"/>
  <cols>
    <col min="1" max="1" width="19.7109375" customWidth="1"/>
    <col min="2" max="2" width="17.140625" customWidth="1"/>
    <col min="3" max="3" width="11.42578125" style="216"/>
    <col min="4" max="4" width="24.28515625" customWidth="1"/>
    <col min="5" max="5" width="19.85546875" customWidth="1"/>
    <col min="6" max="6" width="26.5703125" customWidth="1"/>
    <col min="7" max="8" width="21.85546875" customWidth="1"/>
    <col min="9" max="9" width="7" style="248" customWidth="1"/>
    <col min="10" max="10" width="6.42578125" style="303" customWidth="1"/>
    <col min="11" max="11" width="8.140625" style="303" customWidth="1"/>
    <col min="13" max="13" width="20.28515625" customWidth="1"/>
    <col min="14" max="14" width="64.7109375" customWidth="1"/>
  </cols>
  <sheetData>
    <row r="1" spans="1:16" s="304" customFormat="1" ht="13.5" customHeight="1">
      <c r="A1" s="307" t="s">
        <v>4080</v>
      </c>
      <c r="B1" s="307" t="s">
        <v>4081</v>
      </c>
      <c r="C1" s="308" t="s">
        <v>4082</v>
      </c>
      <c r="D1" s="307" t="s">
        <v>4083</v>
      </c>
      <c r="E1" s="431" t="s">
        <v>5652</v>
      </c>
      <c r="F1" s="431"/>
      <c r="G1" s="307" t="s">
        <v>5666</v>
      </c>
      <c r="H1" s="307"/>
      <c r="I1" s="307" t="s">
        <v>4084</v>
      </c>
      <c r="J1" s="309" t="s">
        <v>4085</v>
      </c>
      <c r="K1" s="309" t="s">
        <v>4086</v>
      </c>
      <c r="L1" s="307" t="s">
        <v>4087</v>
      </c>
      <c r="M1" s="307" t="s">
        <v>4088</v>
      </c>
      <c r="N1" s="319" t="s">
        <v>5732</v>
      </c>
      <c r="O1" s="307" t="s">
        <v>4089</v>
      </c>
    </row>
    <row r="2" spans="1:16">
      <c r="A2" s="61" t="s">
        <v>261</v>
      </c>
      <c r="B2" s="297" t="s">
        <v>261</v>
      </c>
      <c r="C2" s="305" t="s">
        <v>5618</v>
      </c>
      <c r="D2" s="297" t="s">
        <v>4090</v>
      </c>
      <c r="E2" s="297" t="str">
        <f>IF(ISERROR( FIND("(",D2) ),D2,LEFT(D2, FIND("(",D2)-2))</f>
        <v>Humanoïde</v>
      </c>
      <c r="F2" s="297" t="str">
        <f>VLOOKUP(E2,'Types de monstres'!$A$2:$B$17,2,FALSE)</f>
        <v>HUMANOID</v>
      </c>
      <c r="G2" s="297" t="str">
        <f>IF(ISERROR( FIND("(",D2) ),"",RIGHT(LEFT(D2,LEN(D2)-1), LEN(D2)-FIND("(",D2)-1))</f>
        <v>aarakocra</v>
      </c>
      <c r="H2" s="297" t="str">
        <f>IF(OR(G2="",G2="toute race"),"",VLOOKUP(G2,'Types de monstres'!$F$2:$G$49,2,FALSE))</f>
        <v>AARAKOCRA</v>
      </c>
      <c r="I2" s="297" t="s">
        <v>4091</v>
      </c>
      <c r="J2" s="302">
        <v>12</v>
      </c>
      <c r="K2" s="302">
        <v>13</v>
      </c>
      <c r="L2" s="297" t="s">
        <v>4092</v>
      </c>
      <c r="M2" s="297" t="s">
        <v>5733</v>
      </c>
      <c r="N2" s="297" t="str">
        <f>IF(M2="sans alignement","",IF(M2="tout alignement", """1_LB"", ""2_NB"", ""3_CB"", ""4_LN"", ""5_NN"", ""6_CN"", ""7_LM"", ""8_NM"", ""9_CM""",IF(M2="tout alignement non bon", """4_LN"", ""5_NN"", ""6_CN"", ""7_LM"", ""8_NM"", ""9_CM""",IF(M2="tout alignement mauvais", """7_LM"", ""8_NM"", ""9_CM""",IF(M2="tout alignement chaotique", """3_CB"", ""6_CN"", ""9_CM""",IF(M2="tout alignement non loyal", """2_NB"", ""3_CB"", ""5_NN"", ""6_CN"", ""8_NM"", ""9_CM""",""""&amp;VLOOKUP(M2,Alignements!$A$2:$B$10,2, FALSE)&amp;""""))))))</f>
        <v>"2_NB"</v>
      </c>
      <c r="O2" s="297"/>
      <c r="P2" t="str">
        <f>""""&amp;A2&amp;""": {
  ""Name"" : """&amp;A2&amp;""",
  ""VO"" : """&amp;B2&amp;""",
  ""Family"" : """&amp;F2&amp;""",
  ""Species"" : ["""&amp;SUBSTITUTE(H2,", ",""", """)&amp;"""],
  ""FP"" : """&amp;SUBSTITUTE(C2,"""","")&amp;""", 
  ""Size"" : """&amp;I2&amp;""",
  ""AC"" : "&amp;J2&amp;",
  ""HP"" : "&amp;K2&amp;", 
  ""Speed"" : """&amp;L2&amp;""",
  ""Alignments"" : ["&amp;N2&amp;"],
  ""Legendary"" : """&amp;O2&amp;"""}"</f>
        <v>"Aarakocra": {
  "Name" : "Aarakocra",
  "VO" : "Aarakocra",
  "Family" : "HUMANOID",
  "Species" : ["AARAKOCRA"],
  "FP" : "1/4", 
  "Size" : "M",
  "AC" : 12,
  "HP" : 13, 
  "Speed" : "vol",
  "Alignments" : ["2_NB"],
  "Legendary" : ""}</v>
      </c>
    </row>
    <row r="3" spans="1:16">
      <c r="A3" s="299" t="s">
        <v>4094</v>
      </c>
      <c r="B3" s="298" t="s">
        <v>4095</v>
      </c>
      <c r="C3" s="306">
        <v>6</v>
      </c>
      <c r="D3" s="298" t="s">
        <v>4096</v>
      </c>
      <c r="E3" s="297" t="str">
        <f t="shared" ref="E3:E66" si="0">IF(ISERROR( FIND("(",D3) ),D3,LEFT(D3, FIND("(",D3)-2))</f>
        <v>Fiélon</v>
      </c>
      <c r="F3" s="297" t="str">
        <f>VLOOKUP(E3,'Types de monstres'!$A$2:$B$17,2,FALSE)</f>
        <v>FIEND</v>
      </c>
      <c r="G3" s="297" t="str">
        <f t="shared" ref="G3:G66" si="1">IF(ISERROR( FIND("(",D3) ),"",RIGHT(LEFT(D3,LEN(D3)-1), LEN(D3)-FIND("(",D3)-1))</f>
        <v>diable</v>
      </c>
      <c r="H3" s="297" t="str">
        <f>IF(OR(G3="",G3="toute race"),"",VLOOKUP(G3,'Types de monstres'!$F$2:$G$49,2,FALSE))</f>
        <v>DEVIL</v>
      </c>
      <c r="I3" s="298" t="s">
        <v>4091</v>
      </c>
      <c r="J3" s="300">
        <v>15</v>
      </c>
      <c r="K3" s="300">
        <v>68</v>
      </c>
      <c r="L3" s="298" t="s">
        <v>4092</v>
      </c>
      <c r="M3" s="298" t="s">
        <v>4097</v>
      </c>
      <c r="N3" s="297" t="str">
        <f>IF(M3="sans alignement","",IF(M3="tout alignement", """1_LB"", ""2_NB"", ""3_CB"", ""4_LN"", ""5_NN"", ""6_CN"", ""7_LM"", ""8_NM"", ""9_CM""",IF(M3="tout alignement non bon", """4_LN"", ""5_NN"", ""6_CN"", ""7_LM"", ""8_NM"", ""9_CM""",IF(M3="tout alignement mauvais", """7_LM"", ""8_NM"", ""9_CM""",IF(M3="tout alignement chaotique", """3_CB"", ""6_CN"", ""9_CM""",IF(M3="tout alignement non loyal", """2_NB"", ""3_CB"", ""5_NN"", ""6_CN"", ""8_NM"", ""9_CM""",""""&amp;VLOOKUP(M3,Alignements!$A$2:$B$10,2, FALSE)&amp;""""))))))</f>
        <v>"7_LM"</v>
      </c>
      <c r="O3" s="298"/>
      <c r="P3" t="str">
        <f t="shared" ref="P3:P66" si="2">""""&amp;A3&amp;""": {
  ""Name"" : """&amp;A3&amp;""",
  ""VO"" : """&amp;B3&amp;""",
  ""Family"" : """&amp;F3&amp;""",
  ""Species"" : ["""&amp;SUBSTITUTE(H3,", ",""", """)&amp;"""],
  ""FP"" : """&amp;SUBSTITUTE(C3,"""","")&amp;""", 
  ""Size"" : """&amp;I3&amp;""",
  ""AC"" : "&amp;J3&amp;",
  ""HP"" : "&amp;K3&amp;", 
  ""Speed"" : """&amp;L3&amp;""",
  ""Alignments"" : ["&amp;N3&amp;"],
  ""Legendary"" : """&amp;O3&amp;"""}"</f>
        <v>"Abishaï blanc": {
  "Name" : "Abishaï blanc",
  "VO" : "White Abishai",
  "Family" : "FIEND",
  "Species" : ["DEVIL"],
  "FP" : "6", 
  "Size" : "M",
  "AC" : 15,
  "HP" : 68, 
  "Speed" : "vol",
  "Alignments" : ["7_LM"],
  "Legendary" : ""}</v>
      </c>
    </row>
    <row r="4" spans="1:16">
      <c r="A4" s="301" t="s">
        <v>4098</v>
      </c>
      <c r="B4" s="297" t="s">
        <v>4099</v>
      </c>
      <c r="C4" s="305">
        <v>17</v>
      </c>
      <c r="D4" s="297" t="s">
        <v>4096</v>
      </c>
      <c r="E4" s="297" t="str">
        <f t="shared" si="0"/>
        <v>Fiélon</v>
      </c>
      <c r="F4" s="297" t="str">
        <f>VLOOKUP(E4,'Types de monstres'!$A$2:$B$17,2,FALSE)</f>
        <v>FIEND</v>
      </c>
      <c r="G4" s="297" t="str">
        <f t="shared" si="1"/>
        <v>diable</v>
      </c>
      <c r="H4" s="297" t="str">
        <f>IF(OR(G4="",G4="toute race"),"",VLOOKUP(G4,'Types de monstres'!$F$2:$G$49,2,FALSE))</f>
        <v>DEVIL</v>
      </c>
      <c r="I4" s="297" t="s">
        <v>4091</v>
      </c>
      <c r="J4" s="302">
        <v>19</v>
      </c>
      <c r="K4" s="302">
        <v>195</v>
      </c>
      <c r="L4" s="297" t="s">
        <v>4092</v>
      </c>
      <c r="M4" s="297" t="s">
        <v>4097</v>
      </c>
      <c r="N4" s="297" t="str">
        <f>IF(M4="sans alignement","",IF(M4="tout alignement", """1_LB"", ""2_NB"", ""3_CB"", ""4_LN"", ""5_NN"", ""6_CN"", ""7_LM"", ""8_NM"", ""9_CM""",IF(M4="tout alignement non bon", """4_LN"", ""5_NN"", ""6_CN"", ""7_LM"", ""8_NM"", ""9_CM""",IF(M4="tout alignement mauvais", """7_LM"", ""8_NM"", ""9_CM""",IF(M4="tout alignement chaotique", """3_CB"", ""6_CN"", ""9_CM""",IF(M4="tout alignement non loyal", """2_NB"", ""3_CB"", ""5_NN"", ""6_CN"", ""8_NM"", ""9_CM""",""""&amp;VLOOKUP(M4,Alignements!$A$2:$B$10,2, FALSE)&amp;""""))))))</f>
        <v>"7_LM"</v>
      </c>
      <c r="O4" s="297"/>
      <c r="P4" t="str">
        <f t="shared" si="2"/>
        <v>"Abishaï bleu": {
  "Name" : "Abishaï bleu",
  "VO" : "Blue Abishai",
  "Family" : "FIEND",
  "Species" : ["DEVIL"],
  "FP" : "17", 
  "Size" : "M",
  "AC" : 19,
  "HP" : 195, 
  "Speed" : "vol",
  "Alignments" : ["7_LM"],
  "Legendary" : ""}</v>
      </c>
    </row>
    <row r="5" spans="1:16">
      <c r="A5" s="299" t="s">
        <v>4100</v>
      </c>
      <c r="B5" s="298" t="s">
        <v>4101</v>
      </c>
      <c r="C5" s="306">
        <v>7</v>
      </c>
      <c r="D5" s="298" t="s">
        <v>4096</v>
      </c>
      <c r="E5" s="297" t="str">
        <f t="shared" si="0"/>
        <v>Fiélon</v>
      </c>
      <c r="F5" s="297" t="str">
        <f>VLOOKUP(E5,'Types de monstres'!$A$2:$B$17,2,FALSE)</f>
        <v>FIEND</v>
      </c>
      <c r="G5" s="297" t="str">
        <f t="shared" si="1"/>
        <v>diable</v>
      </c>
      <c r="H5" s="297" t="str">
        <f>IF(OR(G5="",G5="toute race"),"",VLOOKUP(G5,'Types de monstres'!$F$2:$G$49,2,FALSE))</f>
        <v>DEVIL</v>
      </c>
      <c r="I5" s="298" t="s">
        <v>4091</v>
      </c>
      <c r="J5" s="300">
        <v>15</v>
      </c>
      <c r="K5" s="300">
        <v>58</v>
      </c>
      <c r="L5" s="298" t="s">
        <v>4092</v>
      </c>
      <c r="M5" s="298" t="s">
        <v>4097</v>
      </c>
      <c r="N5" s="297" t="str">
        <f>IF(M5="sans alignement","",IF(M5="tout alignement", """1_LB"", ""2_NB"", ""3_CB"", ""4_LN"", ""5_NN"", ""6_CN"", ""7_LM"", ""8_NM"", ""9_CM""",IF(M5="tout alignement non bon", """4_LN"", ""5_NN"", ""6_CN"", ""7_LM"", ""8_NM"", ""9_CM""",IF(M5="tout alignement mauvais", """7_LM"", ""8_NM"", ""9_CM""",IF(M5="tout alignement chaotique", """3_CB"", ""6_CN"", ""9_CM""",IF(M5="tout alignement non loyal", """2_NB"", ""3_CB"", ""5_NN"", ""6_CN"", ""8_NM"", ""9_CM""",""""&amp;VLOOKUP(M5,Alignements!$A$2:$B$10,2, FALSE)&amp;""""))))))</f>
        <v>"7_LM"</v>
      </c>
      <c r="O5" s="298"/>
      <c r="P5" t="str">
        <f t="shared" si="2"/>
        <v>"Abishaï noir": {
  "Name" : "Abishaï noir",
  "VO" : "Black Abishai",
  "Family" : "FIEND",
  "Species" : ["DEVIL"],
  "FP" : "7", 
  "Size" : "M",
  "AC" : 15,
  "HP" : 58, 
  "Speed" : "vol",
  "Alignments" : ["7_LM"],
  "Legendary" : ""}</v>
      </c>
    </row>
    <row r="6" spans="1:16">
      <c r="A6" s="301" t="s">
        <v>4102</v>
      </c>
      <c r="B6" s="297" t="s">
        <v>4103</v>
      </c>
      <c r="C6" s="305">
        <v>19</v>
      </c>
      <c r="D6" s="297" t="s">
        <v>4096</v>
      </c>
      <c r="E6" s="297" t="str">
        <f t="shared" si="0"/>
        <v>Fiélon</v>
      </c>
      <c r="F6" s="297" t="str">
        <f>VLOOKUP(E6,'Types de monstres'!$A$2:$B$17,2,FALSE)</f>
        <v>FIEND</v>
      </c>
      <c r="G6" s="297" t="str">
        <f t="shared" si="1"/>
        <v>diable</v>
      </c>
      <c r="H6" s="297" t="str">
        <f>IF(OR(G6="",G6="toute race"),"",VLOOKUP(G6,'Types de monstres'!$F$2:$G$49,2,FALSE))</f>
        <v>DEVIL</v>
      </c>
      <c r="I6" s="297" t="s">
        <v>4091</v>
      </c>
      <c r="J6" s="302">
        <v>22</v>
      </c>
      <c r="K6" s="302">
        <v>255</v>
      </c>
      <c r="L6" s="297" t="s">
        <v>4092</v>
      </c>
      <c r="M6" s="297" t="s">
        <v>4097</v>
      </c>
      <c r="N6" s="297" t="str">
        <f>IF(M6="sans alignement","",IF(M6="tout alignement", """1_LB"", ""2_NB"", ""3_CB"", ""4_LN"", ""5_NN"", ""6_CN"", ""7_LM"", ""8_NM"", ""9_CM""",IF(M6="tout alignement non bon", """4_LN"", ""5_NN"", ""6_CN"", ""7_LM"", ""8_NM"", ""9_CM""",IF(M6="tout alignement mauvais", """7_LM"", ""8_NM"", ""9_CM""",IF(M6="tout alignement chaotique", """3_CB"", ""6_CN"", ""9_CM""",IF(M6="tout alignement non loyal", """2_NB"", ""3_CB"", ""5_NN"", ""6_CN"", ""8_NM"", ""9_CM""",""""&amp;VLOOKUP(M6,Alignements!$A$2:$B$10,2, FALSE)&amp;""""))))))</f>
        <v>"7_LM"</v>
      </c>
      <c r="O6" s="297"/>
      <c r="P6" t="str">
        <f t="shared" si="2"/>
        <v>"Abishaï rouge": {
  "Name" : "Abishaï rouge",
  "VO" : "Red Abishai",
  "Family" : "FIEND",
  "Species" : ["DEVIL"],
  "FP" : "19", 
  "Size" : "M",
  "AC" : 22,
  "HP" : 255, 
  "Speed" : "vol",
  "Alignments" : ["7_LM"],
  "Legendary" : ""}</v>
      </c>
    </row>
    <row r="7" spans="1:16">
      <c r="A7" s="299" t="s">
        <v>4104</v>
      </c>
      <c r="B7" s="298" t="s">
        <v>4105</v>
      </c>
      <c r="C7" s="306">
        <v>15</v>
      </c>
      <c r="D7" s="298" t="s">
        <v>4096</v>
      </c>
      <c r="E7" s="297" t="str">
        <f t="shared" si="0"/>
        <v>Fiélon</v>
      </c>
      <c r="F7" s="297" t="str">
        <f>VLOOKUP(E7,'Types de monstres'!$A$2:$B$17,2,FALSE)</f>
        <v>FIEND</v>
      </c>
      <c r="G7" s="297" t="str">
        <f t="shared" si="1"/>
        <v>diable</v>
      </c>
      <c r="H7" s="297" t="str">
        <f>IF(OR(G7="",G7="toute race"),"",VLOOKUP(G7,'Types de monstres'!$F$2:$G$49,2,FALSE))</f>
        <v>DEVIL</v>
      </c>
      <c r="I7" s="298" t="s">
        <v>4091</v>
      </c>
      <c r="J7" s="300">
        <v>18</v>
      </c>
      <c r="K7" s="300">
        <v>187</v>
      </c>
      <c r="L7" s="298" t="s">
        <v>4092</v>
      </c>
      <c r="M7" s="298" t="s">
        <v>4097</v>
      </c>
      <c r="N7" s="297" t="str">
        <f>IF(M7="sans alignement","",IF(M7="tout alignement", """1_LB"", ""2_NB"", ""3_CB"", ""4_LN"", ""5_NN"", ""6_CN"", ""7_LM"", ""8_NM"", ""9_CM""",IF(M7="tout alignement non bon", """4_LN"", ""5_NN"", ""6_CN"", ""7_LM"", ""8_NM"", ""9_CM""",IF(M7="tout alignement mauvais", """7_LM"", ""8_NM"", ""9_CM""",IF(M7="tout alignement chaotique", """3_CB"", ""6_CN"", ""9_CM""",IF(M7="tout alignement non loyal", """2_NB"", ""3_CB"", ""5_NN"", ""6_CN"", ""8_NM"", ""9_CM""",""""&amp;VLOOKUP(M7,Alignements!$A$2:$B$10,2, FALSE)&amp;""""))))))</f>
        <v>"7_LM"</v>
      </c>
      <c r="O7" s="298"/>
      <c r="P7" t="str">
        <f t="shared" si="2"/>
        <v>"Abishaï vert": {
  "Name" : "Abishaï vert",
  "VO" : "Green Abishai",
  "Family" : "FIEND",
  "Species" : ["DEVIL"],
  "FP" : "15", 
  "Size" : "M",
  "AC" : 18,
  "HP" : 187, 
  "Speed" : "vol",
  "Alignments" : ["7_LM"],
  "Legendary" : ""}</v>
      </c>
    </row>
    <row r="8" spans="1:16">
      <c r="A8" s="61" t="s">
        <v>4106</v>
      </c>
      <c r="B8" s="297" t="s">
        <v>4107</v>
      </c>
      <c r="C8" s="305">
        <v>9</v>
      </c>
      <c r="D8" s="297" t="s">
        <v>4108</v>
      </c>
      <c r="E8" s="297" t="str">
        <f t="shared" si="0"/>
        <v>Humanoïde</v>
      </c>
      <c r="F8" s="297" t="str">
        <f>VLOOKUP(E8,'Types de monstres'!$A$2:$B$17,2,FALSE)</f>
        <v>HUMANOID</v>
      </c>
      <c r="G8" s="297" t="str">
        <f t="shared" si="1"/>
        <v>toute race</v>
      </c>
      <c r="H8" s="297" t="str">
        <f>IF(OR(G8="",G8="toute race"),"",VLOOKUP(G8,'Types de monstres'!$F$2:$G$49,2,FALSE))</f>
        <v/>
      </c>
      <c r="I8" s="297" t="s">
        <v>4091</v>
      </c>
      <c r="J8" s="302">
        <v>12</v>
      </c>
      <c r="K8" s="302">
        <v>84</v>
      </c>
      <c r="L8" s="297"/>
      <c r="M8" s="297" t="s">
        <v>4109</v>
      </c>
      <c r="N8" s="297" t="str">
        <f>IF(M8="sans alignement","",IF(M8="tout alignement", """1_LB"", ""2_NB"", ""3_CB"", ""4_LN"", ""5_NN"", ""6_CN"", ""7_LM"", ""8_NM"", ""9_CM""",IF(M8="tout alignement non bon", """4_LN"", ""5_NN"", ""6_CN"", ""7_LM"", ""8_NM"", ""9_CM""",IF(M8="tout alignement mauvais", """7_LM"", ""8_NM"", ""9_CM""",IF(M8="tout alignement chaotique", """3_CB"", ""6_CN"", ""9_CM""",IF(M8="tout alignement non loyal", """2_NB"", ""3_CB"", ""5_NN"", ""6_CN"", ""8_NM"", ""9_CM""",""""&amp;VLOOKUP(M8,Alignements!$A$2:$B$10,2, FALSE)&amp;""""))))))</f>
        <v>"1_LB", "2_NB", "3_CB", "4_LN", "5_NN", "6_CN", "7_LM", "8_NM", "9_CM"</v>
      </c>
      <c r="O8" s="297"/>
      <c r="P8" t="str">
        <f t="shared" si="2"/>
        <v>"Abjurateur": {
  "Name" : "Abjurateur",
  "VO" : "Abjurer",
  "Family" : "HUMANOID",
  "Species" : [""],
  "FP" : "9", 
  "Size" : "M",
  "AC" : 12,
  "HP" : 84, 
  "Speed" : "",
  "Alignments" : ["1_LB", "2_NB", "3_CB", "4_LN", "5_NN", "6_CN", "7_LM", "8_NM", "9_CM"],
  "Legendary" : ""}</v>
      </c>
    </row>
    <row r="9" spans="1:16">
      <c r="A9" s="61" t="s">
        <v>4110</v>
      </c>
      <c r="B9" s="298" t="s">
        <v>4110</v>
      </c>
      <c r="C9" s="306">
        <v>10</v>
      </c>
      <c r="D9" s="298" t="s">
        <v>4111</v>
      </c>
      <c r="E9" s="297" t="str">
        <f t="shared" si="0"/>
        <v>Aberration</v>
      </c>
      <c r="F9" s="297" t="str">
        <f>VLOOKUP(E9,'Types de monstres'!$A$2:$B$17,2,FALSE)</f>
        <v>ABERRATION</v>
      </c>
      <c r="G9" s="297" t="str">
        <f t="shared" si="1"/>
        <v/>
      </c>
      <c r="H9" s="297" t="str">
        <f>IF(OR(G9="",G9="toute race"),"",VLOOKUP(G9,'Types de monstres'!$F$2:$G$49,2,FALSE))</f>
        <v/>
      </c>
      <c r="I9" s="298" t="s">
        <v>4112</v>
      </c>
      <c r="J9" s="300">
        <v>17</v>
      </c>
      <c r="K9" s="300">
        <v>135</v>
      </c>
      <c r="L9" s="298" t="s">
        <v>4113</v>
      </c>
      <c r="M9" s="298" t="s">
        <v>4097</v>
      </c>
      <c r="N9" s="297" t="str">
        <f>IF(M9="sans alignement","",IF(M9="tout alignement", """1_LB"", ""2_NB"", ""3_CB"", ""4_LN"", ""5_NN"", ""6_CN"", ""7_LM"", ""8_NM"", ""9_CM""",IF(M9="tout alignement non bon", """4_LN"", ""5_NN"", ""6_CN"", ""7_LM"", ""8_NM"", ""9_CM""",IF(M9="tout alignement mauvais", """7_LM"", ""8_NM"", ""9_CM""",IF(M9="tout alignement chaotique", """3_CB"", ""6_CN"", ""9_CM""",IF(M9="tout alignement non loyal", """2_NB"", ""3_CB"", ""5_NN"", ""6_CN"", ""8_NM"", ""9_CM""",""""&amp;VLOOKUP(M9,Alignements!$A$2:$B$10,2, FALSE)&amp;""""))))))</f>
        <v>"7_LM"</v>
      </c>
      <c r="O9" s="298" t="s">
        <v>4114</v>
      </c>
      <c r="P9" t="str">
        <f t="shared" si="2"/>
        <v>"Aboleth": {
  "Name" : "Aboleth",
  "VO" : "Aboleth",
  "Family" : "ABERRATION",
  "Species" : [""],
  "FP" : "10", 
  "Size" : "G",
  "AC" : 17,
  "HP" : 135, 
  "Speed" : "nage",
  "Alignments" : ["7_LM"],
  "Legendary" : "Légendaire"}</v>
      </c>
    </row>
    <row r="10" spans="1:16">
      <c r="A10" s="301" t="s">
        <v>4115</v>
      </c>
      <c r="B10" s="297" t="s">
        <v>4116</v>
      </c>
      <c r="C10" s="305">
        <v>23</v>
      </c>
      <c r="D10" s="297" t="s">
        <v>4117</v>
      </c>
      <c r="E10" s="297" t="str">
        <f t="shared" si="0"/>
        <v>Mort-vivant</v>
      </c>
      <c r="F10" s="297" t="str">
        <f>VLOOKUP(E10,'Types de monstres'!$A$2:$B$17,2,FALSE)</f>
        <v>UNDEAD</v>
      </c>
      <c r="G10" s="297" t="str">
        <f t="shared" si="1"/>
        <v/>
      </c>
      <c r="H10" s="297" t="str">
        <f>IF(OR(G10="",G10="toute race"),"",VLOOKUP(G10,'Types de monstres'!$F$2:$G$49,2,FALSE))</f>
        <v/>
      </c>
      <c r="I10" s="297" t="s">
        <v>4091</v>
      </c>
      <c r="J10" s="302">
        <v>21</v>
      </c>
      <c r="K10" s="302">
        <v>285</v>
      </c>
      <c r="L10" s="297"/>
      <c r="M10" s="297" t="s">
        <v>4118</v>
      </c>
      <c r="N10" s="297" t="str">
        <f>IF(M10="sans alignement","",IF(M10="tout alignement", """1_LB"", ""2_NB"", ""3_CB"", ""4_LN"", ""5_NN"", ""6_CN"", ""7_LM"", ""8_NM"", ""9_CM""",IF(M10="tout alignement non bon", """4_LN"", ""5_NN"", ""6_CN"", ""7_LM"", ""8_NM"", ""9_CM""",IF(M10="tout alignement mauvais", """7_LM"", ""8_NM"", ""9_CM""",IF(M10="tout alignement chaotique", """3_CB"", ""6_CN"", ""9_CM""",IF(M10="tout alignement non loyal", """2_NB"", ""3_CB"", ""5_NN"", ""6_CN"", ""8_NM"", ""9_CM""",""""&amp;VLOOKUP(M10,Alignements!$A$2:$B$10,2, FALSE)&amp;""""))))))</f>
        <v>"8_NM"</v>
      </c>
      <c r="O10" s="297"/>
      <c r="P10" t="str">
        <f t="shared" si="2"/>
        <v>"Acérérak": {
  "Name" : "Acérérak",
  "VO" : "Acererak",
  "Family" : "UNDEAD",
  "Species" : [""],
  "FP" : "23", 
  "Size" : "M",
  "AC" : 21,
  "HP" : 285, 
  "Speed" : "",
  "Alignments" : ["8_NM"],
  "Legendary" : ""}</v>
      </c>
    </row>
    <row r="11" spans="1:16">
      <c r="A11" s="61" t="s">
        <v>960</v>
      </c>
      <c r="B11" s="298" t="s">
        <v>960</v>
      </c>
      <c r="C11" s="306" t="s">
        <v>5618</v>
      </c>
      <c r="D11" s="298" t="s">
        <v>4108</v>
      </c>
      <c r="E11" s="297" t="str">
        <f t="shared" si="0"/>
        <v>Humanoïde</v>
      </c>
      <c r="F11" s="297" t="str">
        <f>VLOOKUP(E11,'Types de monstres'!$A$2:$B$17,2,FALSE)</f>
        <v>HUMANOID</v>
      </c>
      <c r="G11" s="297" t="str">
        <f t="shared" si="1"/>
        <v>toute race</v>
      </c>
      <c r="H11" s="297" t="str">
        <f>IF(OR(G11="",G11="toute race"),"",VLOOKUP(G11,'Types de monstres'!$F$2:$G$49,2,FALSE))</f>
        <v/>
      </c>
      <c r="I11" s="298" t="s">
        <v>4091</v>
      </c>
      <c r="J11" s="300">
        <v>10</v>
      </c>
      <c r="K11" s="300">
        <v>9</v>
      </c>
      <c r="L11" s="298"/>
      <c r="M11" s="298" t="s">
        <v>4109</v>
      </c>
      <c r="N11" s="297" t="str">
        <f>IF(M11="sans alignement","",IF(M11="tout alignement", """1_LB"", ""2_NB"", ""3_CB"", ""4_LN"", ""5_NN"", ""6_CN"", ""7_LM"", ""8_NM"", ""9_CM""",IF(M11="tout alignement non bon", """4_LN"", ""5_NN"", ""6_CN"", ""7_LM"", ""8_NM"", ""9_CM""",IF(M11="tout alignement mauvais", """7_LM"", ""8_NM"", ""9_CM""",IF(M11="tout alignement chaotique", """3_CB"", ""6_CN"", ""9_CM""",IF(M11="tout alignement non loyal", """2_NB"", ""3_CB"", ""5_NN"", ""6_CN"", ""8_NM"", ""9_CM""",""""&amp;VLOOKUP(M11,Alignements!$A$2:$B$10,2, FALSE)&amp;""""))))))</f>
        <v>"1_LB", "2_NB", "3_CB", "4_LN", "5_NN", "6_CN", "7_LM", "8_NM", "9_CM"</v>
      </c>
      <c r="O11" s="298"/>
      <c r="P11" t="str">
        <f t="shared" si="2"/>
        <v>"Acolyte": {
  "Name" : "Acolyte",
  "VO" : "Acolyte",
  "Family" : "HUMANOID",
  "Species" : [""],
  "FP" : "1/4", 
  "Size" : "M",
  "AC" : 10,
  "HP" : 9, 
  "Speed" : "",
  "Alignments" : ["1_LB", "2_NB", "3_CB", "4_LN", "5_NN", "6_CN", "7_LM", "8_NM", "9_CM"],
  "Legendary" : ""}</v>
      </c>
    </row>
    <row r="12" spans="1:16">
      <c r="A12" s="301" t="s">
        <v>4119</v>
      </c>
      <c r="B12" s="297" t="s">
        <v>4120</v>
      </c>
      <c r="C12" s="305">
        <v>10</v>
      </c>
      <c r="D12" s="297" t="s">
        <v>4121</v>
      </c>
      <c r="E12" s="297" t="str">
        <f t="shared" si="0"/>
        <v>Créature monstrueuse</v>
      </c>
      <c r="F12" s="297" t="str">
        <f>VLOOKUP(E12,'Types de monstres'!$A$2:$B$17,2,FALSE)</f>
        <v>MONSTROUS_CREATURE</v>
      </c>
      <c r="G12" s="297" t="str">
        <f t="shared" si="1"/>
        <v/>
      </c>
      <c r="H12" s="297" t="str">
        <f>IF(OR(G12="",G12="toute race"),"",VLOOKUP(G12,'Types de monstres'!$F$2:$G$49,2,FALSE))</f>
        <v/>
      </c>
      <c r="I12" s="297" t="s">
        <v>4112</v>
      </c>
      <c r="J12" s="302">
        <v>15</v>
      </c>
      <c r="K12" s="302">
        <v>171</v>
      </c>
      <c r="L12" s="297"/>
      <c r="M12" s="297" t="s">
        <v>4118</v>
      </c>
      <c r="N12" s="297" t="str">
        <f>IF(M12="sans alignement","",IF(M12="tout alignement", """1_LB"", ""2_NB"", ""3_CB"", ""4_LN"", ""5_NN"", ""6_CN"", ""7_LM"", ""8_NM"", ""9_CM""",IF(M12="tout alignement non bon", """4_LN"", ""5_NN"", ""6_CN"", ""7_LM"", ""8_NM"", ""9_CM""",IF(M12="tout alignement mauvais", """7_LM"", ""8_NM"", ""9_CM""",IF(M12="tout alignement chaotique", """3_CB"", ""6_CN"", ""9_CM""",IF(M12="tout alignement non loyal", """2_NB"", ""3_CB"", ""5_NN"", ""6_CN"", ""8_NM"", ""9_CM""",""""&amp;VLOOKUP(M12,Alignements!$A$2:$B$10,2, FALSE)&amp;""""))))))</f>
        <v>"8_NM"</v>
      </c>
      <c r="O12" s="297"/>
      <c r="P12" t="str">
        <f t="shared" si="2"/>
        <v>"Aeorien, absorbeur": {
  "Name" : "Aeorien, absorbeur",
  "VO" : "Aeorian Absorber",
  "Family" : "MONSTROUS_CREATURE",
  "Species" : [""],
  "FP" : "10", 
  "Size" : "G",
  "AC" : 15,
  "HP" : 171, 
  "Speed" : "",
  "Alignments" : ["8_NM"],
  "Legendary" : ""}</v>
      </c>
    </row>
    <row r="13" spans="1:16">
      <c r="A13" s="299" t="s">
        <v>4122</v>
      </c>
      <c r="B13" s="298" t="s">
        <v>4123</v>
      </c>
      <c r="C13" s="306">
        <v>8</v>
      </c>
      <c r="D13" s="298" t="s">
        <v>4121</v>
      </c>
      <c r="E13" s="297" t="str">
        <f t="shared" si="0"/>
        <v>Créature monstrueuse</v>
      </c>
      <c r="F13" s="297" t="str">
        <f>VLOOKUP(E13,'Types de monstres'!$A$2:$B$17,2,FALSE)</f>
        <v>MONSTROUS_CREATURE</v>
      </c>
      <c r="G13" s="297" t="str">
        <f t="shared" si="1"/>
        <v/>
      </c>
      <c r="H13" s="297" t="str">
        <f>IF(OR(G13="",G13="toute race"),"",VLOOKUP(G13,'Types de monstres'!$F$2:$G$49,2,FALSE))</f>
        <v/>
      </c>
      <c r="I13" s="298" t="s">
        <v>4112</v>
      </c>
      <c r="J13" s="300">
        <v>15</v>
      </c>
      <c r="K13" s="300">
        <v>133</v>
      </c>
      <c r="L13" s="298"/>
      <c r="M13" s="298" t="s">
        <v>4118</v>
      </c>
      <c r="N13" s="297" t="str">
        <f>IF(M13="sans alignement","",IF(M13="tout alignement", """1_LB"", ""2_NB"", ""3_CB"", ""4_LN"", ""5_NN"", ""6_CN"", ""7_LM"", ""8_NM"", ""9_CM""",IF(M13="tout alignement non bon", """4_LN"", ""5_NN"", ""6_CN"", ""7_LM"", ""8_NM"", ""9_CM""",IF(M13="tout alignement mauvais", """7_LM"", ""8_NM"", ""9_CM""",IF(M13="tout alignement chaotique", """3_CB"", ""6_CN"", ""9_CM""",IF(M13="tout alignement non loyal", """2_NB"", ""3_CB"", ""5_NN"", ""6_CN"", ""8_NM"", ""9_CM""",""""&amp;VLOOKUP(M13,Alignements!$A$2:$B$10,2, FALSE)&amp;""""))))))</f>
        <v>"8_NM"</v>
      </c>
      <c r="O13" s="298"/>
      <c r="P13" t="str">
        <f t="shared" si="2"/>
        <v>"Aeorien, inverseur": {
  "Name" : "Aeorien, inverseur",
  "VO" : "Aeorian Reverser",
  "Family" : "MONSTROUS_CREATURE",
  "Species" : [""],
  "FP" : "8", 
  "Size" : "G",
  "AC" : 15,
  "HP" : 133, 
  "Speed" : "",
  "Alignments" : ["8_NM"],
  "Legendary" : ""}</v>
      </c>
    </row>
    <row r="14" spans="1:16" ht="21">
      <c r="A14" s="301" t="s">
        <v>4124</v>
      </c>
      <c r="B14" s="297" t="s">
        <v>4125</v>
      </c>
      <c r="C14" s="305">
        <v>12</v>
      </c>
      <c r="D14" s="297" t="s">
        <v>4121</v>
      </c>
      <c r="E14" s="297" t="str">
        <f t="shared" si="0"/>
        <v>Créature monstrueuse</v>
      </c>
      <c r="F14" s="297" t="str">
        <f>VLOOKUP(E14,'Types de monstres'!$A$2:$B$17,2,FALSE)</f>
        <v>MONSTROUS_CREATURE</v>
      </c>
      <c r="G14" s="297" t="str">
        <f t="shared" si="1"/>
        <v/>
      </c>
      <c r="H14" s="297" t="str">
        <f>IF(OR(G14="",G14="toute race"),"",VLOOKUP(G14,'Types de monstres'!$F$2:$G$49,2,FALSE))</f>
        <v/>
      </c>
      <c r="I14" s="297" t="s">
        <v>4112</v>
      </c>
      <c r="J14" s="302">
        <v>17</v>
      </c>
      <c r="K14" s="302">
        <v>180</v>
      </c>
      <c r="L14" s="297"/>
      <c r="M14" s="297" t="s">
        <v>4118</v>
      </c>
      <c r="N14" s="297" t="str">
        <f>IF(M14="sans alignement","",IF(M14="tout alignement", """1_LB"", ""2_NB"", ""3_CB"", ""4_LN"", ""5_NN"", ""6_CN"", ""7_LM"", ""8_NM"", ""9_CM""",IF(M14="tout alignement non bon", """4_LN"", ""5_NN"", ""6_CN"", ""7_LM"", ""8_NM"", ""9_CM""",IF(M14="tout alignement mauvais", """7_LM"", ""8_NM"", ""9_CM""",IF(M14="tout alignement chaotique", """3_CB"", ""6_CN"", ""9_CM""",IF(M14="tout alignement non loyal", """2_NB"", ""3_CB"", ""5_NN"", ""6_CN"", ""8_NM"", ""9_CM""",""""&amp;VLOOKUP(M14,Alignements!$A$2:$B$10,2, FALSE)&amp;""""))))))</f>
        <v>"8_NM"</v>
      </c>
      <c r="O14" s="297"/>
      <c r="P14" t="str">
        <f t="shared" si="2"/>
        <v>"Aeorien, neutraliseur": {
  "Name" : "Aeorien, neutraliseur",
  "VO" : "Aeorian Nullifier",
  "Family" : "MONSTROUS_CREATURE",
  "Species" : [""],
  "FP" : "12", 
  "Size" : "G",
  "AC" : 17,
  "HP" : 180, 
  "Speed" : "",
  "Alignments" : ["8_NM"],
  "Legendary" : ""}</v>
      </c>
    </row>
    <row r="15" spans="1:16">
      <c r="A15" s="61" t="s">
        <v>4126</v>
      </c>
      <c r="B15" s="298" t="s">
        <v>4127</v>
      </c>
      <c r="C15" s="306">
        <v>0</v>
      </c>
      <c r="D15" s="298" t="s">
        <v>4128</v>
      </c>
      <c r="E15" s="297" t="str">
        <f t="shared" si="0"/>
        <v>Bête</v>
      </c>
      <c r="F15" s="297" t="str">
        <f>VLOOKUP(E15,'Types de monstres'!$A$2:$B$17,2,FALSE)</f>
        <v>BEAST</v>
      </c>
      <c r="G15" s="297" t="str">
        <f t="shared" si="1"/>
        <v/>
      </c>
      <c r="H15" s="297" t="str">
        <f>IF(OR(G15="",G15="toute race"),"",VLOOKUP(G15,'Types de monstres'!$F$2:$G$49,2,FALSE))</f>
        <v/>
      </c>
      <c r="I15" s="298" t="s">
        <v>4129</v>
      </c>
      <c r="J15" s="300">
        <v>12</v>
      </c>
      <c r="K15" s="300">
        <v>3</v>
      </c>
      <c r="L15" s="298" t="s">
        <v>4092</v>
      </c>
      <c r="M15" s="298" t="s">
        <v>4130</v>
      </c>
      <c r="N15" s="297" t="str">
        <f>IF(M15="sans alignement","",IF(M15="tout alignement", """1_LB"", ""2_NB"", ""3_CB"", ""4_LN"", ""5_NN"", ""6_CN"", ""7_LM"", ""8_NM"", ""9_CM""",IF(M15="tout alignement non bon", """4_LN"", ""5_NN"", ""6_CN"", ""7_LM"", ""8_NM"", ""9_CM""",IF(M15="tout alignement mauvais", """7_LM"", ""8_NM"", ""9_CM""",IF(M15="tout alignement chaotique", """3_CB"", ""6_CN"", ""9_CM""",IF(M15="tout alignement non loyal", """2_NB"", ""3_CB"", ""5_NN"", ""6_CN"", ""8_NM"", ""9_CM""",""""&amp;VLOOKUP(M15,Alignements!$A$2:$B$10,2, FALSE)&amp;""""))))))</f>
        <v/>
      </c>
      <c r="O15" s="298"/>
      <c r="P15" t="str">
        <f t="shared" si="2"/>
        <v>"Aigle": {
  "Name" : "Aigle",
  "VO" : "Eagle",
  "Family" : "BEAST",
  "Species" : [""],
  "FP" : "0", 
  "Size" : "P",
  "AC" : 12,
  "HP" : 3, 
  "Speed" : "vol",
  "Alignments" : [],
  "Legendary" : ""}</v>
      </c>
    </row>
    <row r="16" spans="1:16">
      <c r="A16" s="61" t="s">
        <v>4131</v>
      </c>
      <c r="B16" s="297" t="s">
        <v>4132</v>
      </c>
      <c r="C16" s="305">
        <v>1</v>
      </c>
      <c r="D16" s="297" t="s">
        <v>4128</v>
      </c>
      <c r="E16" s="297" t="str">
        <f t="shared" si="0"/>
        <v>Bête</v>
      </c>
      <c r="F16" s="297" t="str">
        <f>VLOOKUP(E16,'Types de monstres'!$A$2:$B$17,2,FALSE)</f>
        <v>BEAST</v>
      </c>
      <c r="G16" s="297" t="str">
        <f t="shared" si="1"/>
        <v/>
      </c>
      <c r="H16" s="297" t="str">
        <f>IF(OR(G16="",G16="toute race"),"",VLOOKUP(G16,'Types de monstres'!$F$2:$G$49,2,FALSE))</f>
        <v/>
      </c>
      <c r="I16" s="297" t="s">
        <v>4112</v>
      </c>
      <c r="J16" s="302">
        <v>13</v>
      </c>
      <c r="K16" s="302">
        <v>26</v>
      </c>
      <c r="L16" s="297" t="s">
        <v>4092</v>
      </c>
      <c r="M16" s="297" t="s">
        <v>4093</v>
      </c>
      <c r="N16" s="297" t="str">
        <f>IF(M16="sans alignement","",IF(M16="tout alignement", """1_LB"", ""2_NB"", ""3_CB"", ""4_LN"", ""5_NN"", ""6_CN"", ""7_LM"", ""8_NM"", ""9_CM""",IF(M16="tout alignement non bon", """4_LN"", ""5_NN"", ""6_CN"", ""7_LM"", ""8_NM"", ""9_CM""",IF(M16="tout alignement mauvais", """7_LM"", ""8_NM"", ""9_CM""",IF(M16="tout alignement chaotique", """3_CB"", ""6_CN"", ""9_CM""",IF(M16="tout alignement non loyal", """2_NB"", ""3_CB"", ""5_NN"", ""6_CN"", ""8_NM"", ""9_CM""",""""&amp;VLOOKUP(M16,Alignements!$A$2:$B$10,2, FALSE)&amp;""""))))))</f>
        <v>"2_NB"</v>
      </c>
      <c r="O16" s="297"/>
      <c r="P16" t="str">
        <f t="shared" si="2"/>
        <v>"Aigle géant": {
  "Name" : "Aigle géant",
  "VO" : "Giant Eagle",
  "Family" : "BEAST",
  "Species" : [""],
  "FP" : "1", 
  "Size" : "G",
  "AC" : 13,
  "HP" : 26, 
  "Speed" : "vol",
  "Alignments" : ["2_NB"],
  "Legendary" : ""}</v>
      </c>
    </row>
    <row r="17" spans="1:16" ht="21">
      <c r="A17" s="61" t="s">
        <v>4133</v>
      </c>
      <c r="B17" s="298" t="s">
        <v>4133</v>
      </c>
      <c r="C17" s="306">
        <v>10</v>
      </c>
      <c r="D17" s="298" t="s">
        <v>4117</v>
      </c>
      <c r="E17" s="297" t="str">
        <f t="shared" si="0"/>
        <v>Mort-vivant</v>
      </c>
      <c r="F17" s="297" t="str">
        <f>VLOOKUP(E17,'Types de monstres'!$A$2:$B$17,2,FALSE)</f>
        <v>UNDEAD</v>
      </c>
      <c r="G17" s="297" t="str">
        <f t="shared" si="1"/>
        <v/>
      </c>
      <c r="H17" s="297" t="str">
        <f>IF(OR(G17="",G17="toute race"),"",VLOOKUP(G17,'Types de monstres'!$F$2:$G$49,2,FALSE))</f>
        <v/>
      </c>
      <c r="I17" s="298" t="s">
        <v>4091</v>
      </c>
      <c r="J17" s="300">
        <v>15</v>
      </c>
      <c r="K17" s="300">
        <v>120</v>
      </c>
      <c r="L17" s="298"/>
      <c r="M17" s="298" t="s">
        <v>4134</v>
      </c>
      <c r="N17" s="297" t="str">
        <f>IF(M17="sans alignement","",IF(M17="tout alignement", """1_LB"", ""2_NB"", ""3_CB"", ""4_LN"", ""5_NN"", ""6_CN"", ""7_LM"", ""8_NM"", ""9_CM""",IF(M17="tout alignement non bon", """4_LN"", ""5_NN"", ""6_CN"", ""7_LM"", ""8_NM"", ""9_CM""",IF(M17="tout alignement mauvais", """7_LM"", ""8_NM"", ""9_CM""",IF(M17="tout alignement chaotique", """3_CB"", ""6_CN"", ""9_CM""",IF(M17="tout alignement non loyal", """2_NB"", ""3_CB"", ""5_NN"", ""6_CN"", ""8_NM"", ""9_CM""",""""&amp;VLOOKUP(M17,Alignements!$A$2:$B$10,2, FALSE)&amp;""""))))))</f>
        <v>"7_LM", "8_NM", "9_CM"</v>
      </c>
      <c r="O17" s="298"/>
      <c r="P17" t="str">
        <f t="shared" si="2"/>
        <v>"Alhoon": {
  "Name" : "Alhoon",
  "VO" : "Alhoon",
  "Family" : "UNDEAD",
  "Species" : [""],
  "FP" : "10", 
  "Size" : "M",
  "AC" : 15,
  "HP" : 120, 
  "Speed" : "",
  "Alignments" : ["7_LM", "8_NM", "9_CM"],
  "Legendary" : ""}</v>
      </c>
    </row>
    <row r="18" spans="1:16">
      <c r="A18" s="301" t="s">
        <v>4135</v>
      </c>
      <c r="B18" s="297" t="s">
        <v>4135</v>
      </c>
      <c r="C18" s="305">
        <v>11</v>
      </c>
      <c r="D18" s="297" t="s">
        <v>4136</v>
      </c>
      <c r="E18" s="297" t="str">
        <f t="shared" si="0"/>
        <v>Fiélon</v>
      </c>
      <c r="F18" s="297" t="str">
        <f>VLOOKUP(E18,'Types de monstres'!$A$2:$B$17,2,FALSE)</f>
        <v>FIEND</v>
      </c>
      <c r="G18" s="297" t="str">
        <f t="shared" si="1"/>
        <v>démon</v>
      </c>
      <c r="H18" s="297" t="str">
        <f>IF(OR(G18="",G18="toute race"),"",VLOOKUP(G18,'Types de monstres'!$F$2:$G$49,2,FALSE))</f>
        <v>DAEMON</v>
      </c>
      <c r="I18" s="297" t="s">
        <v>4091</v>
      </c>
      <c r="J18" s="302">
        <v>17</v>
      </c>
      <c r="K18" s="302">
        <v>157</v>
      </c>
      <c r="L18" s="297"/>
      <c r="M18" s="297" t="s">
        <v>4137</v>
      </c>
      <c r="N18" s="297" t="str">
        <f>IF(M18="sans alignement","",IF(M18="tout alignement", """1_LB"", ""2_NB"", ""3_CB"", ""4_LN"", ""5_NN"", ""6_CN"", ""7_LM"", ""8_NM"", ""9_CM""",IF(M18="tout alignement non bon", """4_LN"", ""5_NN"", ""6_CN"", ""7_LM"", ""8_NM"", ""9_CM""",IF(M18="tout alignement mauvais", """7_LM"", ""8_NM"", ""9_CM""",IF(M18="tout alignement chaotique", """3_CB"", ""6_CN"", ""9_CM""",IF(M18="tout alignement non loyal", """2_NB"", ""3_CB"", ""5_NN"", ""6_CN"", ""8_NM"", ""9_CM""",""""&amp;VLOOKUP(M18,Alignements!$A$2:$B$10,2, FALSE)&amp;""""))))))</f>
        <v>"9_CM"</v>
      </c>
      <c r="O18" s="297"/>
      <c r="P18" t="str">
        <f t="shared" si="2"/>
        <v>"Alkilith": {
  "Name" : "Alkilith",
  "VO" : "Alkilith",
  "Family" : "FIEND",
  "Species" : ["DAEMON"],
  "FP" : "11", 
  "Size" : "M",
  "AC" : 17,
  "HP" : 157, 
  "Speed" : "",
  "Alignments" : ["9_CM"],
  "Legendary" : ""}</v>
      </c>
    </row>
    <row r="19" spans="1:16">
      <c r="A19" s="61" t="s">
        <v>4138</v>
      </c>
      <c r="B19" s="298" t="s">
        <v>4138</v>
      </c>
      <c r="C19" s="306">
        <v>5</v>
      </c>
      <c r="D19" s="298" t="s">
        <v>4117</v>
      </c>
      <c r="E19" s="297" t="str">
        <f t="shared" si="0"/>
        <v>Mort-vivant</v>
      </c>
      <c r="F19" s="297" t="str">
        <f>VLOOKUP(E19,'Types de monstres'!$A$2:$B$17,2,FALSE)</f>
        <v>UNDEAD</v>
      </c>
      <c r="G19" s="297" t="str">
        <f t="shared" si="1"/>
        <v/>
      </c>
      <c r="H19" s="297" t="str">
        <f>IF(OR(G19="",G19="toute race"),"",VLOOKUP(G19,'Types de monstres'!$F$2:$G$49,2,FALSE))</f>
        <v/>
      </c>
      <c r="I19" s="298" t="s">
        <v>4091</v>
      </c>
      <c r="J19" s="300">
        <v>13</v>
      </c>
      <c r="K19" s="300">
        <v>40</v>
      </c>
      <c r="L19" s="298" t="s">
        <v>4092</v>
      </c>
      <c r="M19" s="298" t="s">
        <v>4118</v>
      </c>
      <c r="N19" s="297" t="str">
        <f>IF(M19="sans alignement","",IF(M19="tout alignement", """1_LB"", ""2_NB"", ""3_CB"", ""4_LN"", ""5_NN"", ""6_CN"", ""7_LM"", ""8_NM"", ""9_CM""",IF(M19="tout alignement non bon", """4_LN"", ""5_NN"", ""6_CN"", ""7_LM"", ""8_NM"", ""9_CM""",IF(M19="tout alignement mauvais", """7_LM"", ""8_NM"", ""9_CM""",IF(M19="tout alignement chaotique", """3_CB"", ""6_CN"", ""9_CM""",IF(M19="tout alignement non loyal", """2_NB"", ""3_CB"", ""5_NN"", ""6_CN"", ""8_NM"", ""9_CM""",""""&amp;VLOOKUP(M19,Alignements!$A$2:$B$10,2, FALSE)&amp;""""))))))</f>
        <v>"8_NM"</v>
      </c>
      <c r="O19" s="298"/>
      <c r="P19" t="str">
        <f t="shared" si="2"/>
        <v>"Allip": {
  "Name" : "Allip",
  "VO" : "Allip",
  "Family" : "UNDEAD",
  "Species" : [""],
  "FP" : "5", 
  "Size" : "M",
  "AC" : 13,
  "HP" : 40, 
  "Speed" : "vol",
  "Alignments" : ["8_NM"],
  "Legendary" : ""}</v>
      </c>
    </row>
    <row r="20" spans="1:16">
      <c r="A20" s="61" t="s">
        <v>4139</v>
      </c>
      <c r="B20" s="297" t="s">
        <v>4140</v>
      </c>
      <c r="C20" s="305">
        <v>2</v>
      </c>
      <c r="D20" s="297" t="s">
        <v>4128</v>
      </c>
      <c r="E20" s="297" t="str">
        <f t="shared" si="0"/>
        <v>Bête</v>
      </c>
      <c r="F20" s="297" t="str">
        <f>VLOOKUP(E20,'Types de monstres'!$A$2:$B$17,2,FALSE)</f>
        <v>BEAST</v>
      </c>
      <c r="G20" s="297" t="str">
        <f t="shared" si="1"/>
        <v/>
      </c>
      <c r="H20" s="297" t="str">
        <f>IF(OR(G20="",G20="toute race"),"",VLOOKUP(G20,'Types de monstres'!$F$2:$G$49,2,FALSE))</f>
        <v/>
      </c>
      <c r="I20" s="297" t="s">
        <v>4112</v>
      </c>
      <c r="J20" s="302">
        <v>13</v>
      </c>
      <c r="K20" s="302">
        <v>51</v>
      </c>
      <c r="L20" s="297"/>
      <c r="M20" s="297" t="s">
        <v>4130</v>
      </c>
      <c r="N20" s="297" t="str">
        <f>IF(M20="sans alignement","",IF(M20="tout alignement", """1_LB"", ""2_NB"", ""3_CB"", ""4_LN"", ""5_NN"", ""6_CN"", ""7_LM"", ""8_NM"", ""9_CM""",IF(M20="tout alignement non bon", """4_LN"", ""5_NN"", ""6_CN"", ""7_LM"", ""8_NM"", ""9_CM""",IF(M20="tout alignement mauvais", """7_LM"", ""8_NM"", ""9_CM""",IF(M20="tout alignement chaotique", """3_CB"", ""6_CN"", ""9_CM""",IF(M20="tout alignement non loyal", """2_NB"", ""3_CB"", ""5_NN"", ""6_CN"", ""8_NM"", ""9_CM""",""""&amp;VLOOKUP(M20,Alignements!$A$2:$B$10,2, FALSE)&amp;""""))))))</f>
        <v/>
      </c>
      <c r="O20" s="297"/>
      <c r="P20" t="str">
        <f t="shared" si="2"/>
        <v>"Allosaure": {
  "Name" : "Allosaure",
  "VO" : "Allosaurus",
  "Family" : "BEAST",
  "Species" : [""],
  "FP" : "2", 
  "Size" : "G",
  "AC" : 13,
  "HP" : 51, 
  "Speed" : "",
  "Alignments" : [],
  "Legendary" : ""}</v>
      </c>
    </row>
    <row r="21" spans="1:16">
      <c r="A21" s="61" t="s">
        <v>4141</v>
      </c>
      <c r="B21" s="298" t="s">
        <v>4142</v>
      </c>
      <c r="C21" s="306">
        <v>5</v>
      </c>
      <c r="D21" s="298" t="s">
        <v>4117</v>
      </c>
      <c r="E21" s="297" t="str">
        <f t="shared" si="0"/>
        <v>Mort-vivant</v>
      </c>
      <c r="F21" s="297" t="str">
        <f>VLOOKUP(E21,'Types de monstres'!$A$2:$B$17,2,FALSE)</f>
        <v>UNDEAD</v>
      </c>
      <c r="G21" s="297" t="str">
        <f t="shared" si="1"/>
        <v/>
      </c>
      <c r="H21" s="297" t="str">
        <f>IF(OR(G21="",G21="toute race"),"",VLOOKUP(G21,'Types de monstres'!$F$2:$G$49,2,FALSE))</f>
        <v/>
      </c>
      <c r="I21" s="298" t="s">
        <v>4091</v>
      </c>
      <c r="J21" s="300">
        <v>13</v>
      </c>
      <c r="K21" s="300">
        <v>67</v>
      </c>
      <c r="L21" s="298" t="s">
        <v>4092</v>
      </c>
      <c r="M21" s="298" t="s">
        <v>4118</v>
      </c>
      <c r="N21" s="297" t="str">
        <f>IF(M21="sans alignement","",IF(M21="tout alignement", """1_LB"", ""2_NB"", ""3_CB"", ""4_LN"", ""5_NN"", ""6_CN"", ""7_LM"", ""8_NM"", ""9_CM""",IF(M21="tout alignement non bon", """4_LN"", ""5_NN"", ""6_CN"", ""7_LM"", ""8_NM"", ""9_CM""",IF(M21="tout alignement mauvais", """7_LM"", ""8_NM"", ""9_CM""",IF(M21="tout alignement chaotique", """3_CB"", ""6_CN"", ""9_CM""",IF(M21="tout alignement non loyal", """2_NB"", ""3_CB"", ""5_NN"", ""6_CN"", ""8_NM"", ""9_CM""",""""&amp;VLOOKUP(M21,Alignements!$A$2:$B$10,2, FALSE)&amp;""""))))))</f>
        <v>"8_NM"</v>
      </c>
      <c r="O21" s="298"/>
      <c r="P21" t="str">
        <f t="shared" si="2"/>
        <v>"Âme en peine": {
  "Name" : "Âme en peine",
  "VO" : "Wraith",
  "Family" : "UNDEAD",
  "Species" : [""],
  "FP" : "5", 
  "Size" : "M",
  "AC" : 13,
  "HP" : 67, 
  "Speed" : "vol",
  "Alignments" : ["8_NM"],
  "Legendary" : ""}</v>
      </c>
    </row>
    <row r="22" spans="1:16">
      <c r="A22" s="301" t="s">
        <v>4143</v>
      </c>
      <c r="B22" s="297" t="s">
        <v>4143</v>
      </c>
      <c r="C22" s="305">
        <v>18</v>
      </c>
      <c r="D22" s="297" t="s">
        <v>4096</v>
      </c>
      <c r="E22" s="297" t="str">
        <f t="shared" si="0"/>
        <v>Fiélon</v>
      </c>
      <c r="F22" s="297" t="str">
        <f>VLOOKUP(E22,'Types de monstres'!$A$2:$B$17,2,FALSE)</f>
        <v>FIEND</v>
      </c>
      <c r="G22" s="297" t="str">
        <f t="shared" si="1"/>
        <v>diable</v>
      </c>
      <c r="H22" s="297" t="str">
        <f>IF(OR(G22="",G22="toute race"),"",VLOOKUP(G22,'Types de monstres'!$F$2:$G$49,2,FALSE))</f>
        <v>DEVIL</v>
      </c>
      <c r="I22" s="297" t="s">
        <v>4091</v>
      </c>
      <c r="J22" s="302">
        <v>21</v>
      </c>
      <c r="K22" s="302">
        <v>202</v>
      </c>
      <c r="L22" s="297" t="s">
        <v>4092</v>
      </c>
      <c r="M22" s="297" t="s">
        <v>4097</v>
      </c>
      <c r="N22" s="297" t="str">
        <f>IF(M22="sans alignement","",IF(M22="tout alignement", """1_LB"", ""2_NB"", ""3_CB"", ""4_LN"", ""5_NN"", ""6_CN"", ""7_LM"", ""8_NM"", ""9_CM""",IF(M22="tout alignement non bon", """4_LN"", ""5_NN"", ""6_CN"", ""7_LM"", ""8_NM"", ""9_CM""",IF(M22="tout alignement mauvais", """7_LM"", ""8_NM"", ""9_CM""",IF(M22="tout alignement chaotique", """3_CB"", ""6_CN"", ""9_CM""",IF(M22="tout alignement non loyal", """2_NB"", ""3_CB"", ""5_NN"", ""6_CN"", ""8_NM"", ""9_CM""",""""&amp;VLOOKUP(M22,Alignements!$A$2:$B$10,2, FALSE)&amp;""""))))))</f>
        <v>"7_LM"</v>
      </c>
      <c r="O22" s="297"/>
      <c r="P22" t="str">
        <f t="shared" si="2"/>
        <v>"Amnizu": {
  "Name" : "Amnizu",
  "VO" : "Amnizu",
  "Family" : "FIEND",
  "Species" : ["DEVIL"],
  "FP" : "18", 
  "Size" : "M",
  "AC" : 21,
  "HP" : 202, 
  "Speed" : "vol",
  "Alignments" : ["7_LM"],
  "Legendary" : ""}</v>
      </c>
    </row>
    <row r="23" spans="1:16">
      <c r="A23" s="61" t="s">
        <v>4144</v>
      </c>
      <c r="B23" s="298" t="s">
        <v>4144</v>
      </c>
      <c r="C23" s="306">
        <v>17</v>
      </c>
      <c r="D23" s="298" t="s">
        <v>4121</v>
      </c>
      <c r="E23" s="297" t="str">
        <f t="shared" si="0"/>
        <v>Créature monstrueuse</v>
      </c>
      <c r="F23" s="297" t="str">
        <f>VLOOKUP(E23,'Types de monstres'!$A$2:$B$17,2,FALSE)</f>
        <v>MONSTROUS_CREATURE</v>
      </c>
      <c r="G23" s="297" t="str">
        <f t="shared" si="1"/>
        <v/>
      </c>
      <c r="H23" s="297" t="str">
        <f>IF(OR(G23="",G23="toute race"),"",VLOOKUP(G23,'Types de monstres'!$F$2:$G$49,2,FALSE))</f>
        <v/>
      </c>
      <c r="I23" s="298" t="s">
        <v>4112</v>
      </c>
      <c r="J23" s="300">
        <v>17</v>
      </c>
      <c r="K23" s="300">
        <v>199</v>
      </c>
      <c r="L23" s="298" t="s">
        <v>4092</v>
      </c>
      <c r="M23" s="298" t="s">
        <v>4145</v>
      </c>
      <c r="N23" s="297" t="str">
        <f>IF(M23="sans alignement","",IF(M23="tout alignement", """1_LB"", ""2_NB"", ""3_CB"", ""4_LN"", ""5_NN"", ""6_CN"", ""7_LM"", ""8_NM"", ""9_CM""",IF(M23="tout alignement non bon", """4_LN"", ""5_NN"", ""6_CN"", ""7_LM"", ""8_NM"", ""9_CM""",IF(M23="tout alignement mauvais", """7_LM"", ""8_NM"", ""9_CM""",IF(M23="tout alignement chaotique", """3_CB"", ""6_CN"", ""9_CM""",IF(M23="tout alignement non loyal", """2_NB"", ""3_CB"", ""5_NN"", ""6_CN"", ""8_NM"", ""9_CM""",""""&amp;VLOOKUP(M23,Alignements!$A$2:$B$10,2, FALSE)&amp;""""))))))</f>
        <v>"4_LN"</v>
      </c>
      <c r="O23" s="298" t="s">
        <v>4114</v>
      </c>
      <c r="P23" t="str">
        <f t="shared" si="2"/>
        <v>"Androsphinx": {
  "Name" : "Androsphinx",
  "VO" : "Androsphinx",
  "Family" : "MONSTROUS_CREATURE",
  "Species" : [""],
  "FP" : "17", 
  "Size" : "G",
  "AC" : 17,
  "HP" : 199, 
  "Speed" : "vol",
  "Alignments" : ["4_LN"],
  "Legendary" : "Légendaire"}</v>
      </c>
    </row>
    <row r="24" spans="1:16">
      <c r="A24" s="61" t="s">
        <v>4146</v>
      </c>
      <c r="B24" s="297" t="s">
        <v>4146</v>
      </c>
      <c r="C24" s="305">
        <v>2</v>
      </c>
      <c r="D24" s="297" t="s">
        <v>4121</v>
      </c>
      <c r="E24" s="297" t="str">
        <f t="shared" si="0"/>
        <v>Créature monstrueuse</v>
      </c>
      <c r="F24" s="297" t="str">
        <f>VLOOKUP(E24,'Types de monstres'!$A$2:$B$17,2,FALSE)</f>
        <v>MONSTROUS_CREATURE</v>
      </c>
      <c r="G24" s="297" t="str">
        <f t="shared" si="1"/>
        <v/>
      </c>
      <c r="H24" s="297" t="str">
        <f>IF(OR(G24="",G24="toute race"),"",VLOOKUP(G24,'Types de monstres'!$F$2:$G$49,2,FALSE))</f>
        <v/>
      </c>
      <c r="I24" s="297" t="s">
        <v>4112</v>
      </c>
      <c r="J24" s="302">
        <v>14</v>
      </c>
      <c r="K24" s="302">
        <v>39</v>
      </c>
      <c r="L24" s="297"/>
      <c r="M24" s="297" t="s">
        <v>4130</v>
      </c>
      <c r="N24" s="297" t="str">
        <f>IF(M24="sans alignement","",IF(M24="tout alignement", """1_LB"", ""2_NB"", ""3_CB"", ""4_LN"", ""5_NN"", ""6_CN"", ""7_LM"", ""8_NM"", ""9_CM""",IF(M24="tout alignement non bon", """4_LN"", ""5_NN"", ""6_CN"", ""7_LM"", ""8_NM"", ""9_CM""",IF(M24="tout alignement mauvais", """7_LM"", ""8_NM"", ""9_CM""",IF(M24="tout alignement chaotique", """3_CB"", ""6_CN"", ""9_CM""",IF(M24="tout alignement non loyal", """2_NB"", ""3_CB"", ""5_NN"", ""6_CN"", ""8_NM"", ""9_CM""",""""&amp;VLOOKUP(M24,Alignements!$A$2:$B$10,2, FALSE)&amp;""""))))))</f>
        <v/>
      </c>
      <c r="O24" s="297"/>
      <c r="P24" t="str">
        <f t="shared" si="2"/>
        <v>"Ankheg": {
  "Name" : "Ankheg",
  "VO" : "Ankheg",
  "Family" : "MONSTROUS_CREATURE",
  "Species" : [""],
  "FP" : "2", 
  "Size" : "G",
  "AC" : 14,
  "HP" : 39, 
  "Speed" : "",
  "Alignments" : [],
  "Legendary" : ""}</v>
      </c>
    </row>
    <row r="25" spans="1:16">
      <c r="A25" s="61" t="s">
        <v>4147</v>
      </c>
      <c r="B25" s="298" t="s">
        <v>4148</v>
      </c>
      <c r="C25" s="306">
        <v>3</v>
      </c>
      <c r="D25" s="298" t="s">
        <v>4128</v>
      </c>
      <c r="E25" s="297" t="str">
        <f t="shared" si="0"/>
        <v>Bête</v>
      </c>
      <c r="F25" s="297" t="str">
        <f>VLOOKUP(E25,'Types de monstres'!$A$2:$B$17,2,FALSE)</f>
        <v>BEAST</v>
      </c>
      <c r="G25" s="297" t="str">
        <f t="shared" si="1"/>
        <v/>
      </c>
      <c r="H25" s="297" t="str">
        <f>IF(OR(G25="",G25="toute race"),"",VLOOKUP(G25,'Types de monstres'!$F$2:$G$49,2,FALSE))</f>
        <v/>
      </c>
      <c r="I25" s="298" t="s">
        <v>4149</v>
      </c>
      <c r="J25" s="300">
        <v>15</v>
      </c>
      <c r="K25" s="300">
        <v>68</v>
      </c>
      <c r="L25" s="298"/>
      <c r="M25" s="298" t="s">
        <v>4130</v>
      </c>
      <c r="N25" s="297" t="str">
        <f>IF(M25="sans alignement","",IF(M25="tout alignement", """1_LB"", ""2_NB"", ""3_CB"", ""4_LN"", ""5_NN"", ""6_CN"", ""7_LM"", ""8_NM"", ""9_CM""",IF(M25="tout alignement non bon", """4_LN"", ""5_NN"", ""6_CN"", ""7_LM"", ""8_NM"", ""9_CM""",IF(M25="tout alignement mauvais", """7_LM"", ""8_NM"", ""9_CM""",IF(M25="tout alignement chaotique", """3_CB"", ""6_CN"", ""9_CM""",IF(M25="tout alignement non loyal", """2_NB"", ""3_CB"", ""5_NN"", ""6_CN"", ""8_NM"", ""9_CM""",""""&amp;VLOOKUP(M25,Alignements!$A$2:$B$10,2, FALSE)&amp;""""))))))</f>
        <v/>
      </c>
      <c r="O25" s="298"/>
      <c r="P25" t="str">
        <f t="shared" si="2"/>
        <v>"Ankylosaure": {
  "Name" : "Ankylosaure",
  "VO" : "Ankylosaurus",
  "Family" : "BEAST",
  "Species" : [""],
  "FP" : "3", 
  "Size" : "TG",
  "AC" : 15,
  "HP" : 68, 
  "Speed" : "",
  "Alignments" : [],
  "Legendary" : ""}</v>
      </c>
    </row>
    <row r="26" spans="1:16">
      <c r="A26" s="61" t="s">
        <v>4150</v>
      </c>
      <c r="B26" s="297" t="s">
        <v>4151</v>
      </c>
      <c r="C26" s="305" t="s">
        <v>5618</v>
      </c>
      <c r="D26" s="297" t="s">
        <v>4108</v>
      </c>
      <c r="E26" s="297" t="str">
        <f t="shared" si="0"/>
        <v>Humanoïde</v>
      </c>
      <c r="F26" s="297" t="str">
        <f>VLOOKUP(E26,'Types de monstres'!$A$2:$B$17,2,FALSE)</f>
        <v>HUMANOID</v>
      </c>
      <c r="G26" s="297" t="str">
        <f t="shared" si="1"/>
        <v>toute race</v>
      </c>
      <c r="H26" s="297" t="str">
        <f>IF(OR(G26="",G26="toute race"),"",VLOOKUP(G26,'Types de monstres'!$F$2:$G$49,2,FALSE))</f>
        <v/>
      </c>
      <c r="I26" s="297" t="s">
        <v>4091</v>
      </c>
      <c r="J26" s="302">
        <v>10</v>
      </c>
      <c r="K26" s="302">
        <v>9</v>
      </c>
      <c r="L26" s="297"/>
      <c r="M26" s="297" t="s">
        <v>4109</v>
      </c>
      <c r="N26" s="297" t="str">
        <f>IF(M26="sans alignement","",IF(M26="tout alignement", """1_LB"", ""2_NB"", ""3_CB"", ""4_LN"", ""5_NN"", ""6_CN"", ""7_LM"", ""8_NM"", ""9_CM""",IF(M26="tout alignement non bon", """4_LN"", ""5_NN"", ""6_CN"", ""7_LM"", ""8_NM"", ""9_CM""",IF(M26="tout alignement mauvais", """7_LM"", ""8_NM"", ""9_CM""",IF(M26="tout alignement chaotique", """3_CB"", ""6_CN"", ""9_CM""",IF(M26="tout alignement non loyal", """2_NB"", ""3_CB"", ""5_NN"", ""6_CN"", ""8_NM"", ""9_CM""",""""&amp;VLOOKUP(M26,Alignements!$A$2:$B$10,2, FALSE)&amp;""""))))))</f>
        <v>"1_LB", "2_NB", "3_CB", "4_LN", "5_NN", "6_CN", "7_LM", "8_NM", "9_CM"</v>
      </c>
      <c r="O26" s="297"/>
      <c r="P26" t="str">
        <f t="shared" si="2"/>
        <v>"Apprenti magicien": {
  "Name" : "Apprenti magicien",
  "VO" : "Apprentice Wizard",
  "Family" : "HUMANOID",
  "Species" : [""],
  "FP" : "1/4", 
  "Size" : "M",
  "AC" : 10,
  "HP" : 9, 
  "Speed" : "",
  "Alignments" : ["1_LB", "2_NB", "3_CB", "4_LN", "5_NN", "6_CN", "7_LM", "8_NM", "9_CM"],
  "Legendary" : ""}</v>
      </c>
    </row>
    <row r="27" spans="1:16">
      <c r="A27" s="61" t="s">
        <v>4152</v>
      </c>
      <c r="B27" s="298" t="s">
        <v>4153</v>
      </c>
      <c r="C27" s="306">
        <v>0</v>
      </c>
      <c r="D27" s="298" t="s">
        <v>4128</v>
      </c>
      <c r="E27" s="297" t="str">
        <f t="shared" si="0"/>
        <v>Bête</v>
      </c>
      <c r="F27" s="297" t="str">
        <f>VLOOKUP(E27,'Types de monstres'!$A$2:$B$17,2,FALSE)</f>
        <v>BEAST</v>
      </c>
      <c r="G27" s="297" t="str">
        <f t="shared" si="1"/>
        <v/>
      </c>
      <c r="H27" s="297" t="str">
        <f>IF(OR(G27="",G27="toute race"),"",VLOOKUP(G27,'Types de monstres'!$F$2:$G$49,2,FALSE))</f>
        <v/>
      </c>
      <c r="I27" s="298" t="s">
        <v>4154</v>
      </c>
      <c r="J27" s="300">
        <v>12</v>
      </c>
      <c r="K27" s="300">
        <v>1</v>
      </c>
      <c r="L27" s="298"/>
      <c r="M27" s="298" t="s">
        <v>4130</v>
      </c>
      <c r="N27" s="297" t="str">
        <f>IF(M27="sans alignement","",IF(M27="tout alignement", """1_LB"", ""2_NB"", ""3_CB"", ""4_LN"", ""5_NN"", ""6_CN"", ""7_LM"", ""8_NM"", ""9_CM""",IF(M27="tout alignement non bon", """4_LN"", ""5_NN"", ""6_CN"", ""7_LM"", ""8_NM"", ""9_CM""",IF(M27="tout alignement mauvais", """7_LM"", ""8_NM"", ""9_CM""",IF(M27="tout alignement chaotique", """3_CB"", ""6_CN"", ""9_CM""",IF(M27="tout alignement non loyal", """2_NB"", ""3_CB"", ""5_NN"", ""6_CN"", ""8_NM"", ""9_CM""",""""&amp;VLOOKUP(M27,Alignements!$A$2:$B$10,2, FALSE)&amp;""""))))))</f>
        <v/>
      </c>
      <c r="O27" s="298"/>
      <c r="P27" t="str">
        <f t="shared" si="2"/>
        <v>"Araignée": {
  "Name" : "Araignée",
  "VO" : "Spider",
  "Family" : "BEAST",
  "Species" : [""],
  "FP" : "0", 
  "Size" : "TP",
  "AC" : 12,
  "HP" : 1, 
  "Speed" : "",
  "Alignments" : [],
  "Legendary" : ""}</v>
      </c>
    </row>
    <row r="28" spans="1:16" ht="21">
      <c r="A28" s="301" t="s">
        <v>4155</v>
      </c>
      <c r="B28" s="297" t="s">
        <v>4156</v>
      </c>
      <c r="C28" s="305">
        <v>1</v>
      </c>
      <c r="D28" s="297" t="s">
        <v>4121</v>
      </c>
      <c r="E28" s="297" t="str">
        <f t="shared" si="0"/>
        <v>Créature monstrueuse</v>
      </c>
      <c r="F28" s="297" t="str">
        <f>VLOOKUP(E28,'Types de monstres'!$A$2:$B$17,2,FALSE)</f>
        <v>MONSTROUS_CREATURE</v>
      </c>
      <c r="G28" s="297" t="str">
        <f t="shared" si="1"/>
        <v/>
      </c>
      <c r="H28" s="297" t="str">
        <f>IF(OR(G28="",G28="toute race"),"",VLOOKUP(G28,'Types de monstres'!$F$2:$G$49,2,FALSE))</f>
        <v/>
      </c>
      <c r="I28" s="297" t="s">
        <v>4112</v>
      </c>
      <c r="J28" s="302">
        <v>14</v>
      </c>
      <c r="K28" s="302">
        <v>30</v>
      </c>
      <c r="L28" s="297"/>
      <c r="M28" s="297" t="s">
        <v>4130</v>
      </c>
      <c r="N28" s="297" t="str">
        <f>IF(M28="sans alignement","",IF(M28="tout alignement", """1_LB"", ""2_NB"", ""3_CB"", ""4_LN"", ""5_NN"", ""6_CN"", ""7_LM"", ""8_NM"", ""9_CM""",IF(M28="tout alignement non bon", """4_LN"", ""5_NN"", ""6_CN"", ""7_LM"", ""8_NM"", ""9_CM""",IF(M28="tout alignement mauvais", """7_LM"", ""8_NM"", ""9_CM""",IF(M28="tout alignement chaotique", """3_CB"", ""6_CN"", ""9_CM""",IF(M28="tout alignement non loyal", """2_NB"", ""3_CB"", ""5_NN"", ""6_CN"", ""8_NM"", ""9_CM""",""""&amp;VLOOKUP(M28,Alignements!$A$2:$B$10,2, FALSE)&amp;""""))))))</f>
        <v/>
      </c>
      <c r="O28" s="297"/>
      <c r="P28" t="str">
        <f t="shared" si="2"/>
        <v>"Araignée de monte, femelle": {
  "Name" : "Araignée de monte, femelle",
  "VO" : "Female Steeder",
  "Family" : "MONSTROUS_CREATURE",
  "Species" : [""],
  "FP" : "1", 
  "Size" : "G",
  "AC" : 14,
  "HP" : 30, 
  "Speed" : "",
  "Alignments" : [],
  "Legendary" : ""}</v>
      </c>
    </row>
    <row r="29" spans="1:16" ht="21">
      <c r="A29" s="299" t="s">
        <v>4157</v>
      </c>
      <c r="B29" s="298" t="s">
        <v>4158</v>
      </c>
      <c r="C29" s="306" t="s">
        <v>5618</v>
      </c>
      <c r="D29" s="298" t="s">
        <v>4121</v>
      </c>
      <c r="E29" s="297" t="str">
        <f t="shared" si="0"/>
        <v>Créature monstrueuse</v>
      </c>
      <c r="F29" s="297" t="str">
        <f>VLOOKUP(E29,'Types de monstres'!$A$2:$B$17,2,FALSE)</f>
        <v>MONSTROUS_CREATURE</v>
      </c>
      <c r="G29" s="297" t="str">
        <f t="shared" si="1"/>
        <v/>
      </c>
      <c r="H29" s="297" t="str">
        <f>IF(OR(G29="",G29="toute race"),"",VLOOKUP(G29,'Types de monstres'!$F$2:$G$49,2,FALSE))</f>
        <v/>
      </c>
      <c r="I29" s="298" t="s">
        <v>4091</v>
      </c>
      <c r="J29" s="300">
        <v>12</v>
      </c>
      <c r="K29" s="300">
        <v>13</v>
      </c>
      <c r="L29" s="298"/>
      <c r="M29" s="298" t="s">
        <v>4130</v>
      </c>
      <c r="N29" s="297" t="str">
        <f>IF(M29="sans alignement","",IF(M29="tout alignement", """1_LB"", ""2_NB"", ""3_CB"", ""4_LN"", ""5_NN"", ""6_CN"", ""7_LM"", ""8_NM"", ""9_CM""",IF(M29="tout alignement non bon", """4_LN"", ""5_NN"", ""6_CN"", ""7_LM"", ""8_NM"", ""9_CM""",IF(M29="tout alignement mauvais", """7_LM"", ""8_NM"", ""9_CM""",IF(M29="tout alignement chaotique", """3_CB"", ""6_CN"", ""9_CM""",IF(M29="tout alignement non loyal", """2_NB"", ""3_CB"", ""5_NN"", ""6_CN"", ""8_NM"", ""9_CM""",""""&amp;VLOOKUP(M29,Alignements!$A$2:$B$10,2, FALSE)&amp;""""))))))</f>
        <v/>
      </c>
      <c r="O29" s="298"/>
      <c r="P29" t="str">
        <f t="shared" si="2"/>
        <v>"Araignée de monte, mâle": {
  "Name" : "Araignée de monte, mâle",
  "VO" : "Male Steeder",
  "Family" : "MONSTROUS_CREATURE",
  "Species" : [""],
  "FP" : "1/4", 
  "Size" : "M",
  "AC" : 12,
  "HP" : 13, 
  "Speed" : "",
  "Alignments" : [],
  "Legendary" : ""}</v>
      </c>
    </row>
    <row r="30" spans="1:16">
      <c r="A30" s="61" t="s">
        <v>4159</v>
      </c>
      <c r="B30" s="297" t="s">
        <v>4160</v>
      </c>
      <c r="C30" s="305">
        <v>3</v>
      </c>
      <c r="D30" s="297" t="s">
        <v>4121</v>
      </c>
      <c r="E30" s="297" t="str">
        <f t="shared" si="0"/>
        <v>Créature monstrueuse</v>
      </c>
      <c r="F30" s="297" t="str">
        <f>VLOOKUP(E30,'Types de monstres'!$A$2:$B$17,2,FALSE)</f>
        <v>MONSTROUS_CREATURE</v>
      </c>
      <c r="G30" s="297" t="str">
        <f t="shared" si="1"/>
        <v/>
      </c>
      <c r="H30" s="297" t="str">
        <f>IF(OR(G30="",G30="toute race"),"",VLOOKUP(G30,'Types de monstres'!$F$2:$G$49,2,FALSE))</f>
        <v/>
      </c>
      <c r="I30" s="297" t="s">
        <v>4112</v>
      </c>
      <c r="J30" s="302">
        <v>13</v>
      </c>
      <c r="K30" s="302">
        <v>32</v>
      </c>
      <c r="L30" s="297"/>
      <c r="M30" s="297" t="s">
        <v>4130</v>
      </c>
      <c r="N30" s="297" t="str">
        <f>IF(M30="sans alignement","",IF(M30="tout alignement", """1_LB"", ""2_NB"", ""3_CB"", ""4_LN"", ""5_NN"", ""6_CN"", ""7_LM"", ""8_NM"", ""9_CM""",IF(M30="tout alignement non bon", """4_LN"", ""5_NN"", ""6_CN"", ""7_LM"", ""8_NM"", ""9_CM""",IF(M30="tout alignement mauvais", """7_LM"", ""8_NM"", ""9_CM""",IF(M30="tout alignement chaotique", """3_CB"", ""6_CN"", ""9_CM""",IF(M30="tout alignement non loyal", """2_NB"", ""3_CB"", ""5_NN"", ""6_CN"", ""8_NM"", ""9_CM""",""""&amp;VLOOKUP(M30,Alignements!$A$2:$B$10,2, FALSE)&amp;""""))))))</f>
        <v/>
      </c>
      <c r="O30" s="297"/>
      <c r="P30" t="str">
        <f t="shared" si="2"/>
        <v>"Araignée de phase": {
  "Name" : "Araignée de phase",
  "VO" : "Phase Spider",
  "Family" : "MONSTROUS_CREATURE",
  "Species" : [""],
  "FP" : "3", 
  "Size" : "G",
  "AC" : 13,
  "HP" : 32, 
  "Speed" : "",
  "Alignments" : [],
  "Legendary" : ""}</v>
      </c>
    </row>
    <row r="31" spans="1:16">
      <c r="A31" s="61" t="s">
        <v>4161</v>
      </c>
      <c r="B31" s="298" t="s">
        <v>4162</v>
      </c>
      <c r="C31" s="306">
        <v>1</v>
      </c>
      <c r="D31" s="298" t="s">
        <v>4128</v>
      </c>
      <c r="E31" s="297" t="str">
        <f t="shared" si="0"/>
        <v>Bête</v>
      </c>
      <c r="F31" s="297" t="str">
        <f>VLOOKUP(E31,'Types de monstres'!$A$2:$B$17,2,FALSE)</f>
        <v>BEAST</v>
      </c>
      <c r="G31" s="297" t="str">
        <f t="shared" si="1"/>
        <v/>
      </c>
      <c r="H31" s="297" t="str">
        <f>IF(OR(G31="",G31="toute race"),"",VLOOKUP(G31,'Types de monstres'!$F$2:$G$49,2,FALSE))</f>
        <v/>
      </c>
      <c r="I31" s="298" t="s">
        <v>4112</v>
      </c>
      <c r="J31" s="300">
        <v>14</v>
      </c>
      <c r="K31" s="300">
        <v>26</v>
      </c>
      <c r="L31" s="298"/>
      <c r="M31" s="298" t="s">
        <v>4130</v>
      </c>
      <c r="N31" s="297" t="str">
        <f>IF(M31="sans alignement","",IF(M31="tout alignement", """1_LB"", ""2_NB"", ""3_CB"", ""4_LN"", ""5_NN"", ""6_CN"", ""7_LM"", ""8_NM"", ""9_CM""",IF(M31="tout alignement non bon", """4_LN"", ""5_NN"", ""6_CN"", ""7_LM"", ""8_NM"", ""9_CM""",IF(M31="tout alignement mauvais", """7_LM"", ""8_NM"", ""9_CM""",IF(M31="tout alignement chaotique", """3_CB"", ""6_CN"", ""9_CM""",IF(M31="tout alignement non loyal", """2_NB"", ""3_CB"", ""5_NN"", ""6_CN"", ""8_NM"", ""9_CM""",""""&amp;VLOOKUP(M31,Alignements!$A$2:$B$10,2, FALSE)&amp;""""))))))</f>
        <v/>
      </c>
      <c r="O31" s="298"/>
      <c r="P31" t="str">
        <f t="shared" si="2"/>
        <v>"Araignée géante": {
  "Name" : "Araignée géante",
  "VO" : "Giant Spider",
  "Family" : "BEAST",
  "Species" : [""],
  "FP" : "1", 
  "Size" : "G",
  "AC" : 14,
  "HP" : 26, 
  "Speed" : "",
  "Alignments" : [],
  "Legendary" : ""}</v>
      </c>
    </row>
    <row r="32" spans="1:16">
      <c r="A32" s="61" t="s">
        <v>4163</v>
      </c>
      <c r="B32" s="297" t="s">
        <v>4164</v>
      </c>
      <c r="C32" s="305" t="s">
        <v>5618</v>
      </c>
      <c r="D32" s="297" t="s">
        <v>4128</v>
      </c>
      <c r="E32" s="297" t="str">
        <f t="shared" si="0"/>
        <v>Bête</v>
      </c>
      <c r="F32" s="297" t="str">
        <f>VLOOKUP(E32,'Types de monstres'!$A$2:$B$17,2,FALSE)</f>
        <v>BEAST</v>
      </c>
      <c r="G32" s="297" t="str">
        <f t="shared" si="1"/>
        <v/>
      </c>
      <c r="H32" s="297" t="str">
        <f>IF(OR(G32="",G32="toute race"),"",VLOOKUP(G32,'Types de monstres'!$F$2:$G$49,2,FALSE))</f>
        <v/>
      </c>
      <c r="I32" s="297" t="s">
        <v>4091</v>
      </c>
      <c r="J32" s="302">
        <v>13</v>
      </c>
      <c r="K32" s="302">
        <v>11</v>
      </c>
      <c r="L32" s="297"/>
      <c r="M32" s="297" t="s">
        <v>4130</v>
      </c>
      <c r="N32" s="297" t="str">
        <f>IF(M32="sans alignement","",IF(M32="tout alignement", """1_LB"", ""2_NB"", ""3_CB"", ""4_LN"", ""5_NN"", ""6_CN"", ""7_LM"", ""8_NM"", ""9_CM""",IF(M32="tout alignement non bon", """4_LN"", ""5_NN"", ""6_CN"", ""7_LM"", ""8_NM"", ""9_CM""",IF(M32="tout alignement mauvais", """7_LM"", ""8_NM"", ""9_CM""",IF(M32="tout alignement chaotique", """3_CB"", ""6_CN"", ""9_CM""",IF(M32="tout alignement non loyal", """2_NB"", ""3_CB"", ""5_NN"", ""6_CN"", ""8_NM"", ""9_CM""",""""&amp;VLOOKUP(M32,Alignements!$A$2:$B$10,2, FALSE)&amp;""""))))))</f>
        <v/>
      </c>
      <c r="O32" s="297"/>
      <c r="P32" t="str">
        <f t="shared" si="2"/>
        <v>"Araignée-loup géante": {
  "Name" : "Araignée-loup géante",
  "VO" : "Giant Wolf Spider",
  "Family" : "BEAST",
  "Species" : [""],
  "FP" : "1/4", 
  "Size" : "M",
  "AC" : 13,
  "HP" : 11, 
  "Speed" : "",
  "Alignments" : [],
  "Legendary" : ""}</v>
      </c>
    </row>
    <row r="33" spans="1:16">
      <c r="A33" s="61" t="s">
        <v>4165</v>
      </c>
      <c r="B33" s="298" t="s">
        <v>4166</v>
      </c>
      <c r="C33" s="306">
        <v>2</v>
      </c>
      <c r="D33" s="298" t="s">
        <v>4167</v>
      </c>
      <c r="E33" s="297" t="str">
        <f t="shared" si="0"/>
        <v>Plante</v>
      </c>
      <c r="F33" s="297" t="str">
        <f>VLOOKUP(E33,'Types de monstres'!$A$2:$B$17,2,FALSE)</f>
        <v>PLANT</v>
      </c>
      <c r="G33" s="297" t="str">
        <f t="shared" si="1"/>
        <v/>
      </c>
      <c r="H33" s="297" t="str">
        <f>IF(OR(G33="",G33="toute race"),"",VLOOKUP(G33,'Types de monstres'!$F$2:$G$49,2,FALSE))</f>
        <v/>
      </c>
      <c r="I33" s="298" t="s">
        <v>4149</v>
      </c>
      <c r="J33" s="300">
        <v>13</v>
      </c>
      <c r="K33" s="300">
        <v>59</v>
      </c>
      <c r="L33" s="298"/>
      <c r="M33" s="298" t="s">
        <v>4130</v>
      </c>
      <c r="N33" s="297" t="str">
        <f>IF(M33="sans alignement","",IF(M33="tout alignement", """1_LB"", ""2_NB"", ""3_CB"", ""4_LN"", ""5_NN"", ""6_CN"", ""7_LM"", ""8_NM"", ""9_CM""",IF(M33="tout alignement non bon", """4_LN"", ""5_NN"", ""6_CN"", ""7_LM"", ""8_NM"", ""9_CM""",IF(M33="tout alignement mauvais", """7_LM"", ""8_NM"", ""9_CM""",IF(M33="tout alignement chaotique", """3_CB"", ""6_CN"", ""9_CM""",IF(M33="tout alignement non loyal", """2_NB"", ""3_CB"", ""5_NN"", ""6_CN"", ""8_NM"", ""9_CM""",""""&amp;VLOOKUP(M33,Alignements!$A$2:$B$10,2, FALSE)&amp;""""))))))</f>
        <v/>
      </c>
      <c r="O33" s="298"/>
      <c r="P33" t="str">
        <f t="shared" si="2"/>
        <v>"Arbre éveillé": {
  "Name" : "Arbre éveillé",
  "VO" : "Awakened Tree",
  "Family" : "PLANT",
  "Species" : [""],
  "FP" : "2", 
  "Size" : "TG",
  "AC" : 13,
  "HP" : 59, 
  "Speed" : "",
  "Alignments" : [],
  "Legendary" : ""}</v>
      </c>
    </row>
    <row r="34" spans="1:16">
      <c r="A34" s="301" t="s">
        <v>4168</v>
      </c>
      <c r="B34" s="297" t="s">
        <v>4169</v>
      </c>
      <c r="C34" s="305">
        <v>7</v>
      </c>
      <c r="D34" s="297" t="s">
        <v>4167</v>
      </c>
      <c r="E34" s="297" t="str">
        <f t="shared" si="0"/>
        <v>Plante</v>
      </c>
      <c r="F34" s="297" t="str">
        <f>VLOOKUP(E34,'Types de monstres'!$A$2:$B$17,2,FALSE)</f>
        <v>PLANT</v>
      </c>
      <c r="G34" s="297" t="str">
        <f t="shared" si="1"/>
        <v/>
      </c>
      <c r="H34" s="297" t="str">
        <f>IF(OR(G34="",G34="toute race"),"",VLOOKUP(G34,'Types de monstres'!$F$2:$G$49,2,FALSE))</f>
        <v/>
      </c>
      <c r="I34" s="297" t="s">
        <v>4149</v>
      </c>
      <c r="J34" s="302">
        <v>15</v>
      </c>
      <c r="K34" s="302">
        <v>149</v>
      </c>
      <c r="L34" s="297"/>
      <c r="M34" s="297" t="s">
        <v>4118</v>
      </c>
      <c r="N34" s="297" t="str">
        <f>IF(M34="sans alignement","",IF(M34="tout alignement", """1_LB"", ""2_NB"", ""3_CB"", ""4_LN"", ""5_NN"", ""6_CN"", ""7_LM"", ""8_NM"", ""9_CM""",IF(M34="tout alignement non bon", """4_LN"", ""5_NN"", ""6_CN"", ""7_LM"", ""8_NM"", ""9_CM""",IF(M34="tout alignement mauvais", """7_LM"", ""8_NM"", ""9_CM""",IF(M34="tout alignement chaotique", """3_CB"", ""6_CN"", ""9_CM""",IF(M34="tout alignement non loyal", """2_NB"", ""3_CB"", ""5_NN"", ""6_CN"", ""8_NM"", ""9_CM""",""""&amp;VLOOKUP(M34,Alignements!$A$2:$B$10,2, FALSE)&amp;""""))))))</f>
        <v>"8_NM"</v>
      </c>
      <c r="O34" s="297"/>
      <c r="P34" t="str">
        <f t="shared" si="2"/>
        <v>"Arbre infecté": {
  "Name" : "Arbre infecté",
  "VO" : "Tree Blight",
  "Family" : "PLANT",
  "Species" : [""],
  "FP" : "7", 
  "Size" : "TG",
  "AC" : 15,
  "HP" : 149, 
  "Speed" : "",
  "Alignments" : ["8_NM"],
  "Legendary" : ""}</v>
      </c>
    </row>
    <row r="35" spans="1:16">
      <c r="A35" s="61" t="s">
        <v>4170</v>
      </c>
      <c r="B35" s="298" t="s">
        <v>4171</v>
      </c>
      <c r="C35" s="306">
        <v>0</v>
      </c>
      <c r="D35" s="298" t="s">
        <v>4167</v>
      </c>
      <c r="E35" s="297" t="str">
        <f t="shared" si="0"/>
        <v>Plante</v>
      </c>
      <c r="F35" s="297" t="str">
        <f>VLOOKUP(E35,'Types de monstres'!$A$2:$B$17,2,FALSE)</f>
        <v>PLANT</v>
      </c>
      <c r="G35" s="297" t="str">
        <f t="shared" si="1"/>
        <v/>
      </c>
      <c r="H35" s="297" t="str">
        <f>IF(OR(G35="",G35="toute race"),"",VLOOKUP(G35,'Types de monstres'!$F$2:$G$49,2,FALSE))</f>
        <v/>
      </c>
      <c r="I35" s="298" t="s">
        <v>4129</v>
      </c>
      <c r="J35" s="300">
        <v>9</v>
      </c>
      <c r="K35" s="300">
        <v>10</v>
      </c>
      <c r="L35" s="298"/>
      <c r="M35" s="298" t="s">
        <v>4130</v>
      </c>
      <c r="N35" s="297" t="str">
        <f>IF(M35="sans alignement","",IF(M35="tout alignement", """1_LB"", ""2_NB"", ""3_CB"", ""4_LN"", ""5_NN"", ""6_CN"", ""7_LM"", ""8_NM"", ""9_CM""",IF(M35="tout alignement non bon", """4_LN"", ""5_NN"", ""6_CN"", ""7_LM"", ""8_NM"", ""9_CM""",IF(M35="tout alignement mauvais", """7_LM"", ""8_NM"", ""9_CM""",IF(M35="tout alignement chaotique", """3_CB"", ""6_CN"", ""9_CM""",IF(M35="tout alignement non loyal", """2_NB"", ""3_CB"", ""5_NN"", ""6_CN"", ""8_NM"", ""9_CM""",""""&amp;VLOOKUP(M35,Alignements!$A$2:$B$10,2, FALSE)&amp;""""))))))</f>
        <v/>
      </c>
      <c r="O35" s="298"/>
      <c r="P35" t="str">
        <f t="shared" si="2"/>
        <v>"Arbuste éveillé": {
  "Name" : "Arbuste éveillé",
  "VO" : "Awakened Shrub",
  "Family" : "PLANT",
  "Species" : [""],
  "FP" : "0", 
  "Size" : "P",
  "AC" : 9,
  "HP" : 10, 
  "Speed" : "",
  "Alignments" : [],
  "Legendary" : ""}</v>
      </c>
    </row>
    <row r="36" spans="1:16">
      <c r="A36" s="61" t="s">
        <v>4172</v>
      </c>
      <c r="B36" s="297" t="s">
        <v>4172</v>
      </c>
      <c r="C36" s="305">
        <v>12</v>
      </c>
      <c r="D36" s="297" t="s">
        <v>4173</v>
      </c>
      <c r="E36" s="297" t="str">
        <f t="shared" si="0"/>
        <v>Fiélon</v>
      </c>
      <c r="F36" s="297" t="str">
        <f>VLOOKUP(E36,'Types de monstres'!$A$2:$B$17,2,FALSE)</f>
        <v>FIEND</v>
      </c>
      <c r="G36" s="297" t="str">
        <f t="shared" si="1"/>
        <v>yugoloth</v>
      </c>
      <c r="H36" s="297" t="str">
        <f>IF(OR(G36="",G36="toute race"),"",VLOOKUP(G36,'Types de monstres'!$F$2:$G$49,2,FALSE))</f>
        <v>YUGOLOTH</v>
      </c>
      <c r="I36" s="297" t="s">
        <v>4091</v>
      </c>
      <c r="J36" s="302">
        <v>17</v>
      </c>
      <c r="K36" s="302">
        <v>104</v>
      </c>
      <c r="L36" s="297" t="s">
        <v>4092</v>
      </c>
      <c r="M36" s="297" t="s">
        <v>4118</v>
      </c>
      <c r="N36" s="297" t="str">
        <f>IF(M36="sans alignement","",IF(M36="tout alignement", """1_LB"", ""2_NB"", ""3_CB"", ""4_LN"", ""5_NN"", ""6_CN"", ""7_LM"", ""8_NM"", ""9_CM""",IF(M36="tout alignement non bon", """4_LN"", ""5_NN"", ""6_CN"", ""7_LM"", ""8_NM"", ""9_CM""",IF(M36="tout alignement mauvais", """7_LM"", ""8_NM"", ""9_CM""",IF(M36="tout alignement chaotique", """3_CB"", ""6_CN"", ""9_CM""",IF(M36="tout alignement non loyal", """2_NB"", ""3_CB"", ""5_NN"", ""6_CN"", ""8_NM"", ""9_CM""",""""&amp;VLOOKUP(M36,Alignements!$A$2:$B$10,2, FALSE)&amp;""""))))))</f>
        <v>"8_NM"</v>
      </c>
      <c r="O36" s="297"/>
      <c r="P36" t="str">
        <f t="shared" si="2"/>
        <v>"Arcanaloth": {
  "Name" : "Arcanaloth",
  "VO" : "Arcanaloth",
  "Family" : "FIEND",
  "Species" : ["YUGOLOTH"],
  "FP" : "12", 
  "Size" : "M",
  "AC" : 17,
  "HP" : 104, 
  "Speed" : "vol",
  "Alignments" : ["8_NM"],
  "Legendary" : ""}</v>
      </c>
    </row>
    <row r="37" spans="1:16">
      <c r="A37" s="61" t="s">
        <v>4174</v>
      </c>
      <c r="B37" s="298" t="s">
        <v>4174</v>
      </c>
      <c r="C37" s="306">
        <v>3</v>
      </c>
      <c r="D37" s="298" t="s">
        <v>4108</v>
      </c>
      <c r="E37" s="297" t="str">
        <f t="shared" si="0"/>
        <v>Humanoïde</v>
      </c>
      <c r="F37" s="297" t="str">
        <f>VLOOKUP(E37,'Types de monstres'!$A$2:$B$17,2,FALSE)</f>
        <v>HUMANOID</v>
      </c>
      <c r="G37" s="297" t="str">
        <f t="shared" si="1"/>
        <v>toute race</v>
      </c>
      <c r="H37" s="297" t="str">
        <f>IF(OR(G37="",G37="toute race"),"",VLOOKUP(G37,'Types de monstres'!$F$2:$G$49,2,FALSE))</f>
        <v/>
      </c>
      <c r="I37" s="298" t="s">
        <v>4091</v>
      </c>
      <c r="J37" s="300">
        <v>16</v>
      </c>
      <c r="K37" s="300">
        <v>75</v>
      </c>
      <c r="L37" s="298"/>
      <c r="M37" s="298" t="s">
        <v>4109</v>
      </c>
      <c r="N37" s="297" t="str">
        <f>IF(M37="sans alignement","",IF(M37="tout alignement", """1_LB"", ""2_NB"", ""3_CB"", ""4_LN"", ""5_NN"", ""6_CN"", ""7_LM"", ""8_NM"", ""9_CM""",IF(M37="tout alignement non bon", """4_LN"", ""5_NN"", ""6_CN"", ""7_LM"", ""8_NM"", ""9_CM""",IF(M37="tout alignement mauvais", """7_LM"", ""8_NM"", ""9_CM""",IF(M37="tout alignement chaotique", """3_CB"", ""6_CN"", ""9_CM""",IF(M37="tout alignement non loyal", """2_NB"", ""3_CB"", ""5_NN"", ""6_CN"", ""8_NM"", ""9_CM""",""""&amp;VLOOKUP(M37,Alignements!$A$2:$B$10,2, FALSE)&amp;""""))))))</f>
        <v>"1_LB", "2_NB", "3_CB", "4_LN", "5_NN", "6_CN", "7_LM", "8_NM", "9_CM"</v>
      </c>
      <c r="O37" s="298"/>
      <c r="P37" t="str">
        <f t="shared" si="2"/>
        <v>"Archer": {
  "Name" : "Archer",
  "VO" : "Archer",
  "Family" : "HUMANOID",
  "Species" : [""],
  "FP" : "3", 
  "Size" : "M",
  "AC" : 16,
  "HP" : 75, 
  "Speed" : "",
  "Alignments" : ["1_LB", "2_NB", "3_CB", "4_LN", "5_NN", "6_CN", "7_LM", "8_NM", "9_CM"],
  "Legendary" : ""}</v>
      </c>
    </row>
    <row r="38" spans="1:16">
      <c r="A38" s="61" t="s">
        <v>3474</v>
      </c>
      <c r="B38" s="297" t="s">
        <v>4175</v>
      </c>
      <c r="C38" s="305">
        <v>12</v>
      </c>
      <c r="D38" s="297" t="s">
        <v>4108</v>
      </c>
      <c r="E38" s="297" t="str">
        <f t="shared" si="0"/>
        <v>Humanoïde</v>
      </c>
      <c r="F38" s="297" t="str">
        <f>VLOOKUP(E38,'Types de monstres'!$A$2:$B$17,2,FALSE)</f>
        <v>HUMANOID</v>
      </c>
      <c r="G38" s="297" t="str">
        <f t="shared" si="1"/>
        <v>toute race</v>
      </c>
      <c r="H38" s="297" t="str">
        <f>IF(OR(G38="",G38="toute race"),"",VLOOKUP(G38,'Types de monstres'!$F$2:$G$49,2,FALSE))</f>
        <v/>
      </c>
      <c r="I38" s="297" t="s">
        <v>4091</v>
      </c>
      <c r="J38" s="302">
        <v>16</v>
      </c>
      <c r="K38" s="302">
        <v>132</v>
      </c>
      <c r="L38" s="297"/>
      <c r="M38" s="297" t="s">
        <v>4109</v>
      </c>
      <c r="N38" s="297" t="str">
        <f>IF(M38="sans alignement","",IF(M38="tout alignement", """1_LB"", ""2_NB"", ""3_CB"", ""4_LN"", ""5_NN"", ""6_CN"", ""7_LM"", ""8_NM"", ""9_CM""",IF(M38="tout alignement non bon", """4_LN"", ""5_NN"", ""6_CN"", ""7_LM"", ""8_NM"", ""9_CM""",IF(M38="tout alignement mauvais", """7_LM"", ""8_NM"", ""9_CM""",IF(M38="tout alignement chaotique", """3_CB"", ""6_CN"", ""9_CM""",IF(M38="tout alignement non loyal", """2_NB"", ""3_CB"", ""5_NN"", ""6_CN"", ""8_NM"", ""9_CM""",""""&amp;VLOOKUP(M38,Alignements!$A$2:$B$10,2, FALSE)&amp;""""))))))</f>
        <v>"1_LB", "2_NB", "3_CB", "4_LN", "5_NN", "6_CN", "7_LM", "8_NM", "9_CM"</v>
      </c>
      <c r="O38" s="297"/>
      <c r="P38" t="str">
        <f t="shared" si="2"/>
        <v>"Archidruide": {
  "Name" : "Archidruide",
  "VO" : "Archdruid",
  "Family" : "HUMANOID",
  "Species" : [""],
  "FP" : "12", 
  "Size" : "M",
  "AC" : 16,
  "HP" : 132, 
  "Speed" : "",
  "Alignments" : ["1_LB", "2_NB", "3_CB", "4_LN", "5_NN", "6_CN", "7_LM", "8_NM", "9_CM"],
  "Legendary" : ""}</v>
      </c>
    </row>
    <row r="39" spans="1:16">
      <c r="A39" s="61" t="s">
        <v>4176</v>
      </c>
      <c r="B39" s="298" t="s">
        <v>4177</v>
      </c>
      <c r="C39" s="306">
        <v>12</v>
      </c>
      <c r="D39" s="298" t="s">
        <v>4108</v>
      </c>
      <c r="E39" s="297" t="str">
        <f t="shared" si="0"/>
        <v>Humanoïde</v>
      </c>
      <c r="F39" s="297" t="str">
        <f>VLOOKUP(E39,'Types de monstres'!$A$2:$B$17,2,FALSE)</f>
        <v>HUMANOID</v>
      </c>
      <c r="G39" s="297" t="str">
        <f t="shared" si="1"/>
        <v>toute race</v>
      </c>
      <c r="H39" s="297" t="str">
        <f>IF(OR(G39="",G39="toute race"),"",VLOOKUP(G39,'Types de monstres'!$F$2:$G$49,2,FALSE))</f>
        <v/>
      </c>
      <c r="I39" s="298" t="s">
        <v>4091</v>
      </c>
      <c r="J39" s="300">
        <v>12</v>
      </c>
      <c r="K39" s="300">
        <v>99</v>
      </c>
      <c r="L39" s="298"/>
      <c r="M39" s="298" t="s">
        <v>4109</v>
      </c>
      <c r="N39" s="297" t="str">
        <f>IF(M39="sans alignement","",IF(M39="tout alignement", """1_LB"", ""2_NB"", ""3_CB"", ""4_LN"", ""5_NN"", ""6_CN"", ""7_LM"", ""8_NM"", ""9_CM""",IF(M39="tout alignement non bon", """4_LN"", ""5_NN"", ""6_CN"", ""7_LM"", ""8_NM"", ""9_CM""",IF(M39="tout alignement mauvais", """7_LM"", ""8_NM"", ""9_CM""",IF(M39="tout alignement chaotique", """3_CB"", ""6_CN"", ""9_CM""",IF(M39="tout alignement non loyal", """2_NB"", ""3_CB"", ""5_NN"", ""6_CN"", ""8_NM"", ""9_CM""",""""&amp;VLOOKUP(M39,Alignements!$A$2:$B$10,2, FALSE)&amp;""""))))))</f>
        <v>"1_LB", "2_NB", "3_CB", "4_LN", "5_NN", "6_CN", "7_LM", "8_NM", "9_CM"</v>
      </c>
      <c r="O39" s="298"/>
      <c r="P39" t="str">
        <f t="shared" si="2"/>
        <v>"Archimage": {
  "Name" : "Archimage",
  "VO" : "Archmage",
  "Family" : "HUMANOID",
  "Species" : [""],
  "FP" : "12", 
  "Size" : "M",
  "AC" : 12,
  "HP" : 99, 
  "Speed" : "",
  "Alignments" : ["1_LB", "2_NB", "3_CB", "4_LN", "5_NN", "6_CN", "7_LM", "8_NM", "9_CM"],
  "Legendary" : ""}</v>
      </c>
    </row>
    <row r="40" spans="1:16">
      <c r="A40" s="301" t="s">
        <v>4178</v>
      </c>
      <c r="B40" s="297" t="s">
        <v>4178</v>
      </c>
      <c r="C40" s="305">
        <v>7</v>
      </c>
      <c r="D40" s="297" t="s">
        <v>4136</v>
      </c>
      <c r="E40" s="297" t="str">
        <f t="shared" si="0"/>
        <v>Fiélon</v>
      </c>
      <c r="F40" s="297" t="str">
        <f>VLOOKUP(E40,'Types de monstres'!$A$2:$B$17,2,FALSE)</f>
        <v>FIEND</v>
      </c>
      <c r="G40" s="297" t="str">
        <f t="shared" si="1"/>
        <v>démon</v>
      </c>
      <c r="H40" s="297" t="str">
        <f>IF(OR(G40="",G40="toute race"),"",VLOOKUP(G40,'Types de monstres'!$F$2:$G$49,2,FALSE))</f>
        <v>DAEMON</v>
      </c>
      <c r="I40" s="297" t="s">
        <v>4112</v>
      </c>
      <c r="J40" s="302">
        <v>16</v>
      </c>
      <c r="K40" s="302">
        <v>84</v>
      </c>
      <c r="L40" s="297"/>
      <c r="M40" s="297" t="s">
        <v>4137</v>
      </c>
      <c r="N40" s="297" t="str">
        <f>IF(M40="sans alignement","",IF(M40="tout alignement", """1_LB"", ""2_NB"", ""3_CB"", ""4_LN"", ""5_NN"", ""6_CN"", ""7_LM"", ""8_NM"", ""9_CM""",IF(M40="tout alignement non bon", """4_LN"", ""5_NN"", ""6_CN"", ""7_LM"", ""8_NM"", ""9_CM""",IF(M40="tout alignement mauvais", """7_LM"", ""8_NM"", ""9_CM""",IF(M40="tout alignement chaotique", """3_CB"", ""6_CN"", ""9_CM""",IF(M40="tout alignement non loyal", """2_NB"", ""3_CB"", ""5_NN"", ""6_CN"", ""8_NM"", ""9_CM""",""""&amp;VLOOKUP(M40,Alignements!$A$2:$B$10,2, FALSE)&amp;""""))))))</f>
        <v>"9_CM"</v>
      </c>
      <c r="O40" s="297"/>
      <c r="P40" t="str">
        <f t="shared" si="2"/>
        <v>"Armanite": {
  "Name" : "Armanite",
  "VO" : "Armanite",
  "Family" : "FIEND",
  "Species" : ["DAEMON"],
  "FP" : "7", 
  "Size" : "G",
  "AC" : 16,
  "HP" : 84, 
  "Speed" : "",
  "Alignments" : ["9_CM"],
  "Legendary" : ""}</v>
      </c>
    </row>
    <row r="41" spans="1:16">
      <c r="A41" s="61" t="s">
        <v>4179</v>
      </c>
      <c r="B41" s="298" t="s">
        <v>4180</v>
      </c>
      <c r="C41" s="306">
        <v>1</v>
      </c>
      <c r="D41" s="298" t="s">
        <v>4181</v>
      </c>
      <c r="E41" s="297" t="str">
        <f t="shared" si="0"/>
        <v>Créature artificielle</v>
      </c>
      <c r="F41" s="297" t="str">
        <f>VLOOKUP(E41,'Types de monstres'!$A$2:$B$17,2,FALSE)</f>
        <v>ARTIFICIAL_CREATURE</v>
      </c>
      <c r="G41" s="297" t="str">
        <f t="shared" si="1"/>
        <v/>
      </c>
      <c r="H41" s="297" t="str">
        <f>IF(OR(G41="",G41="toute race"),"",VLOOKUP(G41,'Types de monstres'!$F$2:$G$49,2,FALSE))</f>
        <v/>
      </c>
      <c r="I41" s="298" t="s">
        <v>4091</v>
      </c>
      <c r="J41" s="300">
        <v>18</v>
      </c>
      <c r="K41" s="300">
        <v>33</v>
      </c>
      <c r="L41" s="298"/>
      <c r="M41" s="298" t="s">
        <v>4130</v>
      </c>
      <c r="N41" s="297" t="str">
        <f>IF(M41="sans alignement","",IF(M41="tout alignement", """1_LB"", ""2_NB"", ""3_CB"", ""4_LN"", ""5_NN"", ""6_CN"", ""7_LM"", ""8_NM"", ""9_CM""",IF(M41="tout alignement non bon", """4_LN"", ""5_NN"", ""6_CN"", ""7_LM"", ""8_NM"", ""9_CM""",IF(M41="tout alignement mauvais", """7_LM"", ""8_NM"", ""9_CM""",IF(M41="tout alignement chaotique", """3_CB"", ""6_CN"", ""9_CM""",IF(M41="tout alignement non loyal", """2_NB"", ""3_CB"", ""5_NN"", ""6_CN"", ""8_NM"", ""9_CM""",""""&amp;VLOOKUP(M41,Alignements!$A$2:$B$10,2, FALSE)&amp;""""))))))</f>
        <v/>
      </c>
      <c r="O41" s="298"/>
      <c r="P41" t="str">
        <f t="shared" si="2"/>
        <v>"Armure animée": {
  "Name" : "Armure animée",
  "VO" : "Animated Armor",
  "Family" : "ARTIFICIAL_CREATURE",
  "Species" : [""],
  "FP" : "1", 
  "Size" : "M",
  "AC" : 18,
  "HP" : 33, 
  "Speed" : "",
  "Alignments" : [],
  "Legendary" : ""}</v>
      </c>
    </row>
    <row r="42" spans="1:16" ht="21">
      <c r="A42" s="61" t="s">
        <v>2905</v>
      </c>
      <c r="B42" s="297" t="s">
        <v>2905</v>
      </c>
      <c r="C42" s="305">
        <v>8</v>
      </c>
      <c r="D42" s="297" t="s">
        <v>4108</v>
      </c>
      <c r="E42" s="297" t="str">
        <f t="shared" si="0"/>
        <v>Humanoïde</v>
      </c>
      <c r="F42" s="297" t="str">
        <f>VLOOKUP(E42,'Types de monstres'!$A$2:$B$17,2,FALSE)</f>
        <v>HUMANOID</v>
      </c>
      <c r="G42" s="297" t="str">
        <f t="shared" si="1"/>
        <v>toute race</v>
      </c>
      <c r="H42" s="297" t="str">
        <f>IF(OR(G42="",G42="toute race"),"",VLOOKUP(G42,'Types de monstres'!$F$2:$G$49,2,FALSE))</f>
        <v/>
      </c>
      <c r="I42" s="297" t="s">
        <v>4091</v>
      </c>
      <c r="J42" s="302">
        <v>15</v>
      </c>
      <c r="K42" s="302">
        <v>78</v>
      </c>
      <c r="L42" s="297"/>
      <c r="M42" s="297" t="s">
        <v>4182</v>
      </c>
      <c r="N42" s="297" t="str">
        <f>IF(M42="sans alignement","",IF(M42="tout alignement", """1_LB"", ""2_NB"", ""3_CB"", ""4_LN"", ""5_NN"", ""6_CN"", ""7_LM"", ""8_NM"", ""9_CM""",IF(M42="tout alignement non bon", """4_LN"", ""5_NN"", ""6_CN"", ""7_LM"", ""8_NM"", ""9_CM""",IF(M42="tout alignement mauvais", """7_LM"", ""8_NM"", ""9_CM""",IF(M42="tout alignement chaotique", """3_CB"", ""6_CN"", ""9_CM""",IF(M42="tout alignement non loyal", """2_NB"", ""3_CB"", ""5_NN"", ""6_CN"", ""8_NM"", ""9_CM""",""""&amp;VLOOKUP(M42,Alignements!$A$2:$B$10,2, FALSE)&amp;""""))))))</f>
        <v>"4_LN", "5_NN", "6_CN", "7_LM", "8_NM", "9_CM"</v>
      </c>
      <c r="O42" s="297"/>
      <c r="P42" t="str">
        <f t="shared" si="2"/>
        <v>"Assassin": {
  "Name" : "Assassin",
  "VO" : "Assassin",
  "Family" : "HUMANOID",
  "Species" : [""],
  "FP" : "8", 
  "Size" : "M",
  "AC" : 15,
  "HP" : 78, 
  "Speed" : "",
  "Alignments" : ["4_LN", "5_NN", "6_CN", "7_LM", "8_NM", "9_CM"],
  "Legendary" : ""}</v>
      </c>
    </row>
    <row r="43" spans="1:16">
      <c r="A43" s="61" t="s">
        <v>4183</v>
      </c>
      <c r="B43" s="298" t="s">
        <v>4183</v>
      </c>
      <c r="C43" s="306">
        <v>2</v>
      </c>
      <c r="D43" s="298" t="s">
        <v>4128</v>
      </c>
      <c r="E43" s="297" t="str">
        <f t="shared" si="0"/>
        <v>Bête</v>
      </c>
      <c r="F43" s="297" t="str">
        <f>VLOOKUP(E43,'Types de monstres'!$A$2:$B$17,2,FALSE)</f>
        <v>BEAST</v>
      </c>
      <c r="G43" s="297" t="str">
        <f t="shared" si="1"/>
        <v/>
      </c>
      <c r="H43" s="297" t="str">
        <f>IF(OR(G43="",G43="toute race"),"",VLOOKUP(G43,'Types de monstres'!$F$2:$G$49,2,FALSE))</f>
        <v/>
      </c>
      <c r="I43" s="298" t="s">
        <v>4112</v>
      </c>
      <c r="J43" s="300">
        <v>11</v>
      </c>
      <c r="K43" s="300">
        <v>38</v>
      </c>
      <c r="L43" s="298"/>
      <c r="M43" s="298" t="s">
        <v>4130</v>
      </c>
      <c r="N43" s="297" t="str">
        <f>IF(M43="sans alignement","",IF(M43="tout alignement", """1_LB"", ""2_NB"", ""3_CB"", ""4_LN"", ""5_NN"", ""6_CN"", ""7_LM"", ""8_NM"", ""9_CM""",IF(M43="tout alignement non bon", """4_LN"", ""5_NN"", ""6_CN"", ""7_LM"", ""8_NM"", ""9_CM""",IF(M43="tout alignement mauvais", """7_LM"", ""8_NM"", ""9_CM""",IF(M43="tout alignement chaotique", """3_CB"", ""6_CN"", ""9_CM""",IF(M43="tout alignement non loyal", """2_NB"", ""3_CB"", ""5_NN"", ""6_CN"", ""8_NM"", ""9_CM""",""""&amp;VLOOKUP(M43,Alignements!$A$2:$B$10,2, FALSE)&amp;""""))))))</f>
        <v/>
      </c>
      <c r="O43" s="298"/>
      <c r="P43" t="str">
        <f t="shared" si="2"/>
        <v>"Aurochs": {
  "Name" : "Aurochs",
  "VO" : "Aurochs",
  "Family" : "BEAST",
  "Species" : [""],
  "FP" : "2", 
  "Size" : "G",
  "AC" : 11,
  "HP" : 38, 
  "Speed" : "",
  "Alignments" : [],
  "Legendary" : ""}</v>
      </c>
    </row>
    <row r="44" spans="1:16" ht="21">
      <c r="A44" s="301" t="s">
        <v>4184</v>
      </c>
      <c r="B44" s="297" t="s">
        <v>4185</v>
      </c>
      <c r="C44" s="305">
        <v>4</v>
      </c>
      <c r="D44" s="297" t="s">
        <v>4181</v>
      </c>
      <c r="E44" s="297" t="str">
        <f t="shared" si="0"/>
        <v>Créature artificielle</v>
      </c>
      <c r="F44" s="297" t="str">
        <f>VLOOKUP(E44,'Types de monstres'!$A$2:$B$17,2,FALSE)</f>
        <v>ARTIFICIAL_CREATURE</v>
      </c>
      <c r="G44" s="297" t="str">
        <f t="shared" si="1"/>
        <v/>
      </c>
      <c r="H44" s="297" t="str">
        <f>IF(OR(G44="",G44="toute race"),"",VLOOKUP(G44,'Types de monstres'!$F$2:$G$49,2,FALSE))</f>
        <v/>
      </c>
      <c r="I44" s="297" t="s">
        <v>4091</v>
      </c>
      <c r="J44" s="302">
        <v>13</v>
      </c>
      <c r="K44" s="302">
        <v>45</v>
      </c>
      <c r="L44" s="297"/>
      <c r="M44" s="297" t="s">
        <v>4130</v>
      </c>
      <c r="N44" s="297" t="str">
        <f>IF(M44="sans alignement","",IF(M44="tout alignement", """1_LB"", ""2_NB"", ""3_CB"", ""4_LN"", ""5_NN"", ""6_CN"", ""7_LM"", ""8_NM"", ""9_CM""",IF(M44="tout alignement non bon", """4_LN"", ""5_NN"", ""6_CN"", ""7_LM"", ""8_NM"", ""9_CM""",IF(M44="tout alignement mauvais", """7_LM"", ""8_NM"", ""9_CM""",IF(M44="tout alignement chaotique", """3_CB"", ""6_CN"", ""9_CM""",IF(M44="tout alignement non loyal", """2_NB"", ""3_CB"", ""5_NN"", ""6_CN"", ""8_NM"", ""9_CM""",""""&amp;VLOOKUP(M44,Alignements!$A$2:$B$10,2, FALSE)&amp;""""))))))</f>
        <v/>
      </c>
      <c r="O44" s="297"/>
      <c r="P44" t="str">
        <f t="shared" si="2"/>
        <v>"Automate, cobra de fer": {
  "Name" : "Automate, cobra de fer",
  "VO" : "Iron Cobra",
  "Family" : "ARTIFICIAL_CREATURE",
  "Species" : [""],
  "FP" : "4", 
  "Size" : "M",
  "AC" : 13,
  "HP" : 45, 
  "Speed" : "",
  "Alignments" : [],
  "Legendary" : ""}</v>
      </c>
    </row>
    <row r="45" spans="1:16">
      <c r="A45" s="61" t="s">
        <v>4186</v>
      </c>
      <c r="B45" s="298" t="s">
        <v>4187</v>
      </c>
      <c r="C45" s="306">
        <v>0</v>
      </c>
      <c r="D45" s="298" t="s">
        <v>4117</v>
      </c>
      <c r="E45" s="297" t="str">
        <f t="shared" si="0"/>
        <v>Mort-vivant</v>
      </c>
      <c r="F45" s="297" t="str">
        <f>VLOOKUP(E45,'Types de monstres'!$A$2:$B$17,2,FALSE)</f>
        <v>UNDEAD</v>
      </c>
      <c r="G45" s="297" t="str">
        <f t="shared" si="1"/>
        <v/>
      </c>
      <c r="H45" s="297" t="str">
        <f>IF(OR(G45="",G45="toute race"),"",VLOOKUP(G45,'Types de monstres'!$F$2:$G$49,2,FALSE))</f>
        <v/>
      </c>
      <c r="I45" s="298" t="s">
        <v>4091</v>
      </c>
      <c r="J45" s="300">
        <v>20</v>
      </c>
      <c r="K45" s="300">
        <v>0</v>
      </c>
      <c r="L45" s="298" t="s">
        <v>4092</v>
      </c>
      <c r="M45" s="298" t="s">
        <v>4118</v>
      </c>
      <c r="N45" s="297" t="str">
        <f>IF(M45="sans alignement","",IF(M45="tout alignement", """1_LB"", ""2_NB"", ""3_CB"", ""4_LN"", ""5_NN"", ""6_CN"", ""7_LM"", ""8_NM"", ""9_CM""",IF(M45="tout alignement non bon", """4_LN"", ""5_NN"", ""6_CN"", ""7_LM"", ""8_NM"", ""9_CM""",IF(M45="tout alignement mauvais", """7_LM"", ""8_NM"", ""9_CM""",IF(M45="tout alignement chaotique", """3_CB"", ""6_CN"", ""9_CM""",IF(M45="tout alignement non loyal", """2_NB"", ""3_CB"", ""5_NN"", ""6_CN"", ""8_NM"", ""9_CM""",""""&amp;VLOOKUP(M45,Alignements!$A$2:$B$10,2, FALSE)&amp;""""))))))</f>
        <v>"8_NM"</v>
      </c>
      <c r="O45" s="298"/>
      <c r="P45" t="str">
        <f t="shared" si="2"/>
        <v>"Avatar de la mort": {
  "Name" : "Avatar de la mort",
  "VO" : "Avatar of Death",
  "Family" : "UNDEAD",
  "Species" : [""],
  "FP" : "0", 
  "Size" : "M",
  "AC" : 20,
  "HP" : 0, 
  "Speed" : "vol",
  "Alignments" : ["8_NM"],
  "Legendary" : ""}</v>
      </c>
    </row>
    <row r="46" spans="1:16">
      <c r="A46" s="61" t="s">
        <v>4188</v>
      </c>
      <c r="B46" s="297" t="s">
        <v>4188</v>
      </c>
      <c r="C46" s="305">
        <v>2</v>
      </c>
      <c r="D46" s="297" t="s">
        <v>4189</v>
      </c>
      <c r="E46" s="297" t="str">
        <f t="shared" si="0"/>
        <v>Élémentaire</v>
      </c>
      <c r="F46" s="297" t="str">
        <f>VLOOKUP(E46,'Types de monstres'!$A$2:$B$17,2,FALSE)</f>
        <v>ELEMENTARY</v>
      </c>
      <c r="G46" s="297" t="str">
        <f t="shared" si="1"/>
        <v/>
      </c>
      <c r="H46" s="297" t="str">
        <f>IF(OR(G46="",G46="toute race"),"",VLOOKUP(G46,'Types de monstres'!$F$2:$G$49,2,FALSE))</f>
        <v/>
      </c>
      <c r="I46" s="297" t="s">
        <v>4091</v>
      </c>
      <c r="J46" s="302">
        <v>17</v>
      </c>
      <c r="K46" s="302">
        <v>39</v>
      </c>
      <c r="L46" s="297"/>
      <c r="M46" s="297" t="s">
        <v>4145</v>
      </c>
      <c r="N46" s="297" t="str">
        <f>IF(M46="sans alignement","",IF(M46="tout alignement", """1_LB"", ""2_NB"", ""3_CB"", ""4_LN"", ""5_NN"", ""6_CN"", ""7_LM"", ""8_NM"", ""9_CM""",IF(M46="tout alignement non bon", """4_LN"", ""5_NN"", ""6_CN"", ""7_LM"", ""8_NM"", ""9_CM""",IF(M46="tout alignement mauvais", """7_LM"", ""8_NM"", ""9_CM""",IF(M46="tout alignement chaotique", """3_CB"", ""6_CN"", ""9_CM""",IF(M46="tout alignement non loyal", """2_NB"", ""3_CB"", ""5_NN"", ""6_CN"", ""8_NM"", ""9_CM""",""""&amp;VLOOKUP(M46,Alignements!$A$2:$B$10,2, FALSE)&amp;""""))))))</f>
        <v>"4_LN"</v>
      </c>
      <c r="O46" s="297"/>
      <c r="P46" t="str">
        <f t="shared" si="2"/>
        <v>"Azer": {
  "Name" : "Azer",
  "VO" : "Azer",
  "Family" : "ELEMENTARY",
  "Species" : [""],
  "FP" : "2", 
  "Size" : "M",
  "AC" : 17,
  "HP" : 39, 
  "Speed" : "",
  "Alignments" : ["4_LN"],
  "Legendary" : ""}</v>
      </c>
    </row>
    <row r="47" spans="1:16">
      <c r="A47" s="61" t="s">
        <v>4190</v>
      </c>
      <c r="B47" s="298" t="s">
        <v>4190</v>
      </c>
      <c r="C47" s="306">
        <v>4</v>
      </c>
      <c r="D47" s="298" t="s">
        <v>4136</v>
      </c>
      <c r="E47" s="297" t="str">
        <f t="shared" si="0"/>
        <v>Fiélon</v>
      </c>
      <c r="F47" s="297" t="str">
        <f>VLOOKUP(E47,'Types de monstres'!$A$2:$B$17,2,FALSE)</f>
        <v>FIEND</v>
      </c>
      <c r="G47" s="297" t="str">
        <f t="shared" si="1"/>
        <v>démon</v>
      </c>
      <c r="H47" s="297" t="str">
        <f>IF(OR(G47="",G47="toute race"),"",VLOOKUP(G47,'Types de monstres'!$F$2:$G$49,2,FALSE))</f>
        <v>DAEMON</v>
      </c>
      <c r="I47" s="298" t="s">
        <v>4091</v>
      </c>
      <c r="J47" s="300">
        <v>16</v>
      </c>
      <c r="K47" s="300">
        <v>82</v>
      </c>
      <c r="L47" s="298"/>
      <c r="M47" s="298" t="s">
        <v>4137</v>
      </c>
      <c r="N47" s="297" t="str">
        <f>IF(M47="sans alignement","",IF(M47="tout alignement", """1_LB"", ""2_NB"", ""3_CB"", ""4_LN"", ""5_NN"", ""6_CN"", ""7_LM"", ""8_NM"", ""9_CM""",IF(M47="tout alignement non bon", """4_LN"", ""5_NN"", ""6_CN"", ""7_LM"", ""8_NM"", ""9_CM""",IF(M47="tout alignement mauvais", """7_LM"", ""8_NM"", ""9_CM""",IF(M47="tout alignement chaotique", """3_CB"", ""6_CN"", ""9_CM""",IF(M47="tout alignement non loyal", """2_NB"", ""3_CB"", ""5_NN"", ""6_CN"", ""8_NM"", ""9_CM""",""""&amp;VLOOKUP(M47,Alignements!$A$2:$B$10,2, FALSE)&amp;""""))))))</f>
        <v>"9_CM"</v>
      </c>
      <c r="O47" s="298"/>
      <c r="P47" t="str">
        <f t="shared" si="2"/>
        <v>"Babau": {
  "Name" : "Babau",
  "VO" : "Babau",
  "Family" : "FIEND",
  "Species" : ["DAEMON"],
  "FP" : "4", 
  "Size" : "M",
  "AC" : 16,
  "HP" : 82, 
  "Speed" : "",
  "Alignments" : ["9_CM"],
  "Legendary" : ""}</v>
      </c>
    </row>
    <row r="48" spans="1:16">
      <c r="A48" s="61" t="s">
        <v>4191</v>
      </c>
      <c r="B48" s="297" t="s">
        <v>4192</v>
      </c>
      <c r="C48" s="305">
        <v>2</v>
      </c>
      <c r="D48" s="297" t="s">
        <v>4111</v>
      </c>
      <c r="E48" s="297" t="str">
        <f t="shared" si="0"/>
        <v>Aberration</v>
      </c>
      <c r="F48" s="297" t="str">
        <f>VLOOKUP(E48,'Types de monstres'!$A$2:$B$17,2,FALSE)</f>
        <v>ABERRATION</v>
      </c>
      <c r="G48" s="297" t="str">
        <f t="shared" si="1"/>
        <v/>
      </c>
      <c r="H48" s="297" t="str">
        <f>IF(OR(G48="",G48="toute race"),"",VLOOKUP(G48,'Types de monstres'!$F$2:$G$49,2,FALSE))</f>
        <v/>
      </c>
      <c r="I48" s="297" t="s">
        <v>4091</v>
      </c>
      <c r="J48" s="302">
        <v>9</v>
      </c>
      <c r="K48" s="302">
        <v>67</v>
      </c>
      <c r="L48" s="297" t="s">
        <v>4113</v>
      </c>
      <c r="M48" s="297" t="s">
        <v>4193</v>
      </c>
      <c r="N48" s="297" t="str">
        <f>IF(M48="sans alignement","",IF(M48="tout alignement", """1_LB"", ""2_NB"", ""3_CB"", ""4_LN"", ""5_NN"", ""6_CN"", ""7_LM"", ""8_NM"", ""9_CM""",IF(M48="tout alignement non bon", """4_LN"", ""5_NN"", ""6_CN"", ""7_LM"", ""8_NM"", ""9_CM""",IF(M48="tout alignement mauvais", """7_LM"", ""8_NM"", ""9_CM""",IF(M48="tout alignement chaotique", """3_CB"", ""6_CN"", ""9_CM""",IF(M48="tout alignement non loyal", """2_NB"", ""3_CB"", ""5_NN"", ""6_CN"", ""8_NM"", ""9_CM""",""""&amp;VLOOKUP(M48,Alignements!$A$2:$B$10,2, FALSE)&amp;""""))))))</f>
        <v>"5_NN"</v>
      </c>
      <c r="O48" s="297"/>
      <c r="P48" t="str">
        <f t="shared" si="2"/>
        <v>"Babélien": {
  "Name" : "Babélien",
  "VO" : "Gibbering Mouther",
  "Family" : "ABERRATION",
  "Species" : [""],
  "FP" : "2", 
  "Size" : "M",
  "AC" : 9,
  "HP" : 67, 
  "Speed" : "nage",
  "Alignments" : ["5_NN"],
  "Legendary" : ""}</v>
      </c>
    </row>
    <row r="49" spans="1:16">
      <c r="A49" s="61" t="s">
        <v>4194</v>
      </c>
      <c r="B49" s="298" t="s">
        <v>4195</v>
      </c>
      <c r="C49" s="306">
        <v>0</v>
      </c>
      <c r="D49" s="298" t="s">
        <v>4128</v>
      </c>
      <c r="E49" s="297" t="str">
        <f t="shared" si="0"/>
        <v>Bête</v>
      </c>
      <c r="F49" s="297" t="str">
        <f>VLOOKUP(E49,'Types de monstres'!$A$2:$B$17,2,FALSE)</f>
        <v>BEAST</v>
      </c>
      <c r="G49" s="297" t="str">
        <f t="shared" si="1"/>
        <v/>
      </c>
      <c r="H49" s="297" t="str">
        <f>IF(OR(G49="",G49="toute race"),"",VLOOKUP(G49,'Types de monstres'!$F$2:$G$49,2,FALSE))</f>
        <v/>
      </c>
      <c r="I49" s="298" t="s">
        <v>4129</v>
      </c>
      <c r="J49" s="300">
        <v>12</v>
      </c>
      <c r="K49" s="300">
        <v>3</v>
      </c>
      <c r="L49" s="298"/>
      <c r="M49" s="298" t="s">
        <v>4130</v>
      </c>
      <c r="N49" s="297" t="str">
        <f>IF(M49="sans alignement","",IF(M49="tout alignement", """1_LB"", ""2_NB"", ""3_CB"", ""4_LN"", ""5_NN"", ""6_CN"", ""7_LM"", ""8_NM"", ""9_CM""",IF(M49="tout alignement non bon", """4_LN"", ""5_NN"", ""6_CN"", ""7_LM"", ""8_NM"", ""9_CM""",IF(M49="tout alignement mauvais", """7_LM"", ""8_NM"", ""9_CM""",IF(M49="tout alignement chaotique", """3_CB"", ""6_CN"", ""9_CM""",IF(M49="tout alignement non loyal", """2_NB"", ""3_CB"", ""5_NN"", ""6_CN"", ""8_NM"", ""9_CM""",""""&amp;VLOOKUP(M49,Alignements!$A$2:$B$10,2, FALSE)&amp;""""))))))</f>
        <v/>
      </c>
      <c r="O49" s="298"/>
      <c r="P49" t="str">
        <f t="shared" si="2"/>
        <v>"Babouin": {
  "Name" : "Babouin",
  "VO" : "Baboon",
  "Family" : "BEAST",
  "Species" : [""],
  "FP" : "0", 
  "Size" : "P",
  "AC" : 12,
  "HP" : 3, 
  "Speed" : "",
  "Alignments" : [],
  "Legendary" : ""}</v>
      </c>
    </row>
    <row r="50" spans="1:16" ht="21">
      <c r="A50" s="61" t="s">
        <v>4196</v>
      </c>
      <c r="B50" s="297" t="s">
        <v>4196</v>
      </c>
      <c r="C50" s="305">
        <v>3</v>
      </c>
      <c r="D50" s="297" t="s">
        <v>4197</v>
      </c>
      <c r="E50" s="297" t="str">
        <f t="shared" si="0"/>
        <v>Humanoïde</v>
      </c>
      <c r="F50" s="297" t="str">
        <f>VLOOKUP(E50,'Types de monstres'!$A$2:$B$17,2,FALSE)</f>
        <v>HUMANOID</v>
      </c>
      <c r="G50" s="297" t="str">
        <f t="shared" si="1"/>
        <v>nain des montagnes</v>
      </c>
      <c r="H50" s="297" t="str">
        <f>IF(OR(G50="",G50="toute race"),"",VLOOKUP(G50,'Types de monstres'!$F$2:$G$49,2,FALSE))</f>
        <v>MONTAINS_DWARF</v>
      </c>
      <c r="I50" s="297" t="s">
        <v>4091</v>
      </c>
      <c r="J50" s="302">
        <v>16</v>
      </c>
      <c r="K50" s="302">
        <v>58</v>
      </c>
      <c r="L50" s="297"/>
      <c r="M50" s="297" t="s">
        <v>4145</v>
      </c>
      <c r="N50" s="297" t="str">
        <f>IF(M50="sans alignement","",IF(M50="tout alignement", """1_LB"", ""2_NB"", ""3_CB"", ""4_LN"", ""5_NN"", ""6_CN"", ""7_LM"", ""8_NM"", ""9_CM""",IF(M50="tout alignement non bon", """4_LN"", ""5_NN"", ""6_CN"", ""7_LM"", ""8_NM"", ""9_CM""",IF(M50="tout alignement mauvais", """7_LM"", ""8_NM"", ""9_CM""",IF(M50="tout alignement chaotique", """3_CB"", ""6_CN"", ""9_CM""",IF(M50="tout alignement non loyal", """2_NB"", ""3_CB"", ""5_NN"", ""6_CN"", ""8_NM"", ""9_CM""",""""&amp;VLOOKUP(M50,Alignements!$A$2:$B$10,2, FALSE)&amp;""""))))))</f>
        <v>"4_LN"</v>
      </c>
      <c r="O50" s="297"/>
      <c r="P50" t="str">
        <f t="shared" si="2"/>
        <v>"Badîan": {
  "Name" : "Badîan",
  "VO" : "Badîan",
  "Family" : "HUMANOID",
  "Species" : ["MONTAINS_DWARF"],
  "FP" : "3", 
  "Size" : "M",
  "AC" : 16,
  "HP" : 58, 
  "Speed" : "",
  "Alignments" : ["4_LN"],
  "Legendary" : ""}</v>
      </c>
    </row>
    <row r="51" spans="1:16">
      <c r="A51" s="299" t="s">
        <v>4198</v>
      </c>
      <c r="B51" s="298" t="s">
        <v>4198</v>
      </c>
      <c r="C51" s="306">
        <v>19</v>
      </c>
      <c r="D51" s="298" t="s">
        <v>4096</v>
      </c>
      <c r="E51" s="297" t="str">
        <f t="shared" si="0"/>
        <v>Fiélon</v>
      </c>
      <c r="F51" s="297" t="str">
        <f>VLOOKUP(E51,'Types de monstres'!$A$2:$B$17,2,FALSE)</f>
        <v>FIEND</v>
      </c>
      <c r="G51" s="297" t="str">
        <f t="shared" si="1"/>
        <v>diable</v>
      </c>
      <c r="H51" s="297" t="str">
        <f>IF(OR(G51="",G51="toute race"),"",VLOOKUP(G51,'Types de monstres'!$F$2:$G$49,2,FALSE))</f>
        <v>DEVIL</v>
      </c>
      <c r="I51" s="298" t="s">
        <v>4112</v>
      </c>
      <c r="J51" s="300">
        <v>18</v>
      </c>
      <c r="K51" s="300">
        <v>189</v>
      </c>
      <c r="L51" s="298"/>
      <c r="M51" s="298" t="s">
        <v>4097</v>
      </c>
      <c r="N51" s="297" t="str">
        <f>IF(M51="sans alignement","",IF(M51="tout alignement", """1_LB"", ""2_NB"", ""3_CB"", ""4_LN"", ""5_NN"", ""6_CN"", ""7_LM"", ""8_NM"", ""9_CM""",IF(M51="tout alignement non bon", """4_LN"", ""5_NN"", ""6_CN"", ""7_LM"", ""8_NM"", ""9_CM""",IF(M51="tout alignement mauvais", """7_LM"", ""8_NM"", ""9_CM""",IF(M51="tout alignement chaotique", """3_CB"", ""6_CN"", ""9_CM""",IF(M51="tout alignement non loyal", """2_NB"", ""3_CB"", ""5_NN"", ""6_CN"", ""8_NM"", ""9_CM""",""""&amp;VLOOKUP(M51,Alignements!$A$2:$B$10,2, FALSE)&amp;""""))))))</f>
        <v>"7_LM"</v>
      </c>
      <c r="O51" s="298"/>
      <c r="P51" t="str">
        <f t="shared" si="2"/>
        <v>"Bael": {
  "Name" : "Bael",
  "VO" : "Bael",
  "Family" : "FIEND",
  "Species" : ["DEVIL"],
  "FP" : "19", 
  "Size" : "G",
  "AC" : 18,
  "HP" : 189, 
  "Speed" : "",
  "Alignments" : ["7_LM"],
  "Legendary" : ""}</v>
      </c>
    </row>
    <row r="52" spans="1:16">
      <c r="A52" s="301" t="s">
        <v>4199</v>
      </c>
      <c r="B52" s="297" t="s">
        <v>4200</v>
      </c>
      <c r="C52" s="305">
        <v>10</v>
      </c>
      <c r="D52" s="297" t="s">
        <v>4111</v>
      </c>
      <c r="E52" s="297" t="str">
        <f t="shared" si="0"/>
        <v>Aberration</v>
      </c>
      <c r="F52" s="297" t="str">
        <f>VLOOKUP(E52,'Types de monstres'!$A$2:$B$17,2,FALSE)</f>
        <v>ABERRATION</v>
      </c>
      <c r="G52" s="297" t="str">
        <f t="shared" si="1"/>
        <v/>
      </c>
      <c r="H52" s="297" t="str">
        <f>IF(OR(G52="",G52="toute race"),"",VLOOKUP(G52,'Types de monstres'!$F$2:$G$49,2,FALSE))</f>
        <v/>
      </c>
      <c r="I52" s="297" t="s">
        <v>4112</v>
      </c>
      <c r="J52" s="302">
        <v>16</v>
      </c>
      <c r="K52" s="302">
        <v>161</v>
      </c>
      <c r="L52" s="297" t="s">
        <v>4092</v>
      </c>
      <c r="M52" s="297" t="s">
        <v>4118</v>
      </c>
      <c r="N52" s="297" t="str">
        <f>IF(M52="sans alignement","",IF(M52="tout alignement", """1_LB"", ""2_NB"", ""3_CB"", ""4_LN"", ""5_NN"", ""6_CN"", ""7_LM"", ""8_NM"", ""9_CM""",IF(M52="tout alignement non bon", """4_LN"", ""5_NN"", ""6_CN"", ""7_LM"", ""8_NM"", ""9_CM""",IF(M52="tout alignement mauvais", """7_LM"", ""8_NM"", ""9_CM""",IF(M52="tout alignement chaotique", """3_CB"", ""6_CN"", ""9_CM""",IF(M52="tout alignement non loyal", """2_NB"", ""3_CB"", ""5_NN"", ""6_CN"", ""8_NM"", ""9_CM""",""""&amp;VLOOKUP(M52,Alignements!$A$2:$B$10,2, FALSE)&amp;""""))))))</f>
        <v>"8_NM"</v>
      </c>
      <c r="O52" s="297"/>
      <c r="P52" t="str">
        <f t="shared" si="2"/>
        <v>"Baiser de la mort": {
  "Name" : "Baiser de la mort",
  "VO" : "Death Kiss",
  "Family" : "ABERRATION",
  "Species" : [""],
  "FP" : "10", 
  "Size" : "G",
  "AC" : 16,
  "HP" : 161, 
  "Speed" : "vol",
  "Alignments" : ["8_NM"],
  "Legendary" : ""}</v>
      </c>
    </row>
    <row r="53" spans="1:16">
      <c r="A53" s="299" t="s">
        <v>4201</v>
      </c>
      <c r="B53" s="298" t="s">
        <v>4201</v>
      </c>
      <c r="C53" s="306">
        <v>11</v>
      </c>
      <c r="D53" s="298" t="s">
        <v>4111</v>
      </c>
      <c r="E53" s="297" t="str">
        <f t="shared" si="0"/>
        <v>Aberration</v>
      </c>
      <c r="F53" s="297" t="str">
        <f>VLOOKUP(E53,'Types de monstres'!$A$2:$B$17,2,FALSE)</f>
        <v>ABERRATION</v>
      </c>
      <c r="G53" s="297" t="str">
        <f t="shared" si="1"/>
        <v/>
      </c>
      <c r="H53" s="297" t="str">
        <f>IF(OR(G53="",G53="toute race"),"",VLOOKUP(G53,'Types de monstres'!$F$2:$G$49,2,FALSE))</f>
        <v/>
      </c>
      <c r="I53" s="298" t="s">
        <v>4112</v>
      </c>
      <c r="J53" s="300">
        <v>17</v>
      </c>
      <c r="K53" s="300">
        <v>114</v>
      </c>
      <c r="L53" s="298"/>
      <c r="M53" s="298" t="s">
        <v>4137</v>
      </c>
      <c r="N53" s="297" t="str">
        <f>IF(M53="sans alignement","",IF(M53="tout alignement", """1_LB"", ""2_NB"", ""3_CB"", ""4_LN"", ""5_NN"", ""6_CN"", ""7_LM"", ""8_NM"", ""9_CM""",IF(M53="tout alignement non bon", """4_LN"", ""5_NN"", ""6_CN"", ""7_LM"", ""8_NM"", ""9_CM""",IF(M53="tout alignement mauvais", """7_LM"", ""8_NM"", ""9_CM""",IF(M53="tout alignement chaotique", """3_CB"", ""6_CN"", ""9_CM""",IF(M53="tout alignement non loyal", """2_NB"", ""3_CB"", ""5_NN"", ""6_CN"", ""8_NM"", ""9_CM""",""""&amp;VLOOKUP(M53,Alignements!$A$2:$B$10,2, FALSE)&amp;""""))))))</f>
        <v>"9_CM"</v>
      </c>
      <c r="O53" s="298"/>
      <c r="P53" t="str">
        <f t="shared" si="2"/>
        <v>"Balhannoth": {
  "Name" : "Balhannoth",
  "VO" : "Balhannoth",
  "Family" : "ABERRATION",
  "Species" : [""],
  "FP" : "11", 
  "Size" : "G",
  "AC" : 17,
  "HP" : 114, 
  "Speed" : "",
  "Alignments" : ["9_CM"],
  "Legendary" : ""}</v>
      </c>
    </row>
    <row r="54" spans="1:16">
      <c r="A54" s="61" t="s">
        <v>4202</v>
      </c>
      <c r="B54" s="297" t="s">
        <v>4202</v>
      </c>
      <c r="C54" s="305">
        <v>19</v>
      </c>
      <c r="D54" s="297" t="s">
        <v>4136</v>
      </c>
      <c r="E54" s="297" t="str">
        <f t="shared" si="0"/>
        <v>Fiélon</v>
      </c>
      <c r="F54" s="297" t="str">
        <f>VLOOKUP(E54,'Types de monstres'!$A$2:$B$17,2,FALSE)</f>
        <v>FIEND</v>
      </c>
      <c r="G54" s="297" t="str">
        <f t="shared" si="1"/>
        <v>démon</v>
      </c>
      <c r="H54" s="297" t="str">
        <f>IF(OR(G54="",G54="toute race"),"",VLOOKUP(G54,'Types de monstres'!$F$2:$G$49,2,FALSE))</f>
        <v>DAEMON</v>
      </c>
      <c r="I54" s="297" t="s">
        <v>4149</v>
      </c>
      <c r="J54" s="302">
        <v>19</v>
      </c>
      <c r="K54" s="302">
        <v>262</v>
      </c>
      <c r="L54" s="297" t="s">
        <v>4092</v>
      </c>
      <c r="M54" s="297" t="s">
        <v>4137</v>
      </c>
      <c r="N54" s="297" t="str">
        <f>IF(M54="sans alignement","",IF(M54="tout alignement", """1_LB"", ""2_NB"", ""3_CB"", ""4_LN"", ""5_NN"", ""6_CN"", ""7_LM"", ""8_NM"", ""9_CM""",IF(M54="tout alignement non bon", """4_LN"", ""5_NN"", ""6_CN"", ""7_LM"", ""8_NM"", ""9_CM""",IF(M54="tout alignement mauvais", """7_LM"", ""8_NM"", ""9_CM""",IF(M54="tout alignement chaotique", """3_CB"", ""6_CN"", ""9_CM""",IF(M54="tout alignement non loyal", """2_NB"", ""3_CB"", ""5_NN"", ""6_CN"", ""8_NM"", ""9_CM""",""""&amp;VLOOKUP(M54,Alignements!$A$2:$B$10,2, FALSE)&amp;""""))))))</f>
        <v>"9_CM"</v>
      </c>
      <c r="O54" s="297"/>
      <c r="P54" t="str">
        <f t="shared" si="2"/>
        <v>"Balor": {
  "Name" : "Balor",
  "VO" : "Balor",
  "Family" : "FIEND",
  "Species" : ["DAEMON"],
  "FP" : "19", 
  "Size" : "TG",
  "AC" : 19,
  "HP" : 262, 
  "Speed" : "vol",
  "Alignments" : ["9_CM"],
  "Legendary" : ""}</v>
      </c>
    </row>
    <row r="55" spans="1:16">
      <c r="A55" s="61" t="s">
        <v>4203</v>
      </c>
      <c r="B55" s="298" t="s">
        <v>4203</v>
      </c>
      <c r="C55" s="306">
        <v>5</v>
      </c>
      <c r="D55" s="298" t="s">
        <v>4121</v>
      </c>
      <c r="E55" s="297" t="str">
        <f t="shared" si="0"/>
        <v>Créature monstrueuse</v>
      </c>
      <c r="F55" s="297" t="str">
        <f>VLOOKUP(E55,'Types de monstres'!$A$2:$B$17,2,FALSE)</f>
        <v>MONSTROUS_CREATURE</v>
      </c>
      <c r="G55" s="297" t="str">
        <f t="shared" si="1"/>
        <v/>
      </c>
      <c r="H55" s="297" t="str">
        <f>IF(OR(G55="",G55="toute race"),"",VLOOKUP(G55,'Types de monstres'!$F$2:$G$49,2,FALSE))</f>
        <v/>
      </c>
      <c r="I55" s="298" t="s">
        <v>4112</v>
      </c>
      <c r="J55" s="300">
        <v>15</v>
      </c>
      <c r="K55" s="300">
        <v>84</v>
      </c>
      <c r="L55" s="298"/>
      <c r="M55" s="298" t="s">
        <v>4118</v>
      </c>
      <c r="N55" s="297" t="str">
        <f>IF(M55="sans alignement","",IF(M55="tout alignement", """1_LB"", ""2_NB"", ""3_CB"", ""4_LN"", ""5_NN"", ""6_CN"", ""7_LM"", ""8_NM"", ""9_CM""",IF(M55="tout alignement non bon", """4_LN"", ""5_NN"", ""6_CN"", ""7_LM"", ""8_NM"", ""9_CM""",IF(M55="tout alignement mauvais", """7_LM"", ""8_NM"", ""9_CM""",IF(M55="tout alignement chaotique", """3_CB"", ""6_CN"", ""9_CM""",IF(M55="tout alignement non loyal", """2_NB"", ""3_CB"", ""5_NN"", ""6_CN"", ""8_NM"", ""9_CM""",""""&amp;VLOOKUP(M55,Alignements!$A$2:$B$10,2, FALSE)&amp;""""))))))</f>
        <v>"8_NM"</v>
      </c>
      <c r="O55" s="298"/>
      <c r="P55" t="str">
        <f t="shared" si="2"/>
        <v>"Banderhobb": {
  "Name" : "Banderhobb",
  "VO" : "Banderhobb",
  "Family" : "MONSTROUS_CREATURE",
  "Species" : [""],
  "FP" : "5", 
  "Size" : "G",
  "AC" : 15,
  "HP" : 84, 
  "Speed" : "",
  "Alignments" : ["8_NM"],
  "Legendary" : ""}</v>
      </c>
    </row>
    <row r="56" spans="1:16" ht="21">
      <c r="A56" s="61" t="s">
        <v>4204</v>
      </c>
      <c r="B56" s="297" t="s">
        <v>4204</v>
      </c>
      <c r="C56" s="305" t="s">
        <v>5619</v>
      </c>
      <c r="D56" s="297" t="s">
        <v>4108</v>
      </c>
      <c r="E56" s="297" t="str">
        <f t="shared" si="0"/>
        <v>Humanoïde</v>
      </c>
      <c r="F56" s="297" t="str">
        <f>VLOOKUP(E56,'Types de monstres'!$A$2:$B$17,2,FALSE)</f>
        <v>HUMANOID</v>
      </c>
      <c r="G56" s="297" t="str">
        <f t="shared" si="1"/>
        <v>toute race</v>
      </c>
      <c r="H56" s="297" t="str">
        <f>IF(OR(G56="",G56="toute race"),"",VLOOKUP(G56,'Types de monstres'!$F$2:$G$49,2,FALSE))</f>
        <v/>
      </c>
      <c r="I56" s="297" t="s">
        <v>4091</v>
      </c>
      <c r="J56" s="302">
        <v>12</v>
      </c>
      <c r="K56" s="302">
        <v>11</v>
      </c>
      <c r="L56" s="297"/>
      <c r="M56" s="297" t="s">
        <v>4205</v>
      </c>
      <c r="N56" s="297" t="str">
        <f>IF(M56="sans alignement","",IF(M56="tout alignement", """1_LB"", ""2_NB"", ""3_CB"", ""4_LN"", ""5_NN"", ""6_CN"", ""7_LM"", ""8_NM"", ""9_CM""",IF(M56="tout alignement non bon", """4_LN"", ""5_NN"", ""6_CN"", ""7_LM"", ""8_NM"", ""9_CM""",IF(M56="tout alignement mauvais", """7_LM"", ""8_NM"", ""9_CM""",IF(M56="tout alignement chaotique", """3_CB"", ""6_CN"", ""9_CM""",IF(M56="tout alignement non loyal", """2_NB"", ""3_CB"", ""5_NN"", ""6_CN"", ""8_NM"", ""9_CM""",""""&amp;VLOOKUP(M56,Alignements!$A$2:$B$10,2, FALSE)&amp;""""))))))</f>
        <v>"2_NB", "3_CB", "5_NN", "6_CN", "8_NM", "9_CM"</v>
      </c>
      <c r="O56" s="297"/>
      <c r="P56" t="str">
        <f t="shared" si="2"/>
        <v>"Bandit": {
  "Name" : "Bandit",
  "VO" : "Bandit",
  "Family" : "HUMANOID",
  "Species" : [""],
  "FP" : "1/8", 
  "Size" : "M",
  "AC" : 12,
  "HP" : 11, 
  "Speed" : "",
  "Alignments" : ["2_NB", "3_CB", "5_NN", "6_CN", "8_NM", "9_CM"],
  "Legendary" : ""}</v>
      </c>
    </row>
    <row r="57" spans="1:16" ht="21">
      <c r="A57" s="61" t="s">
        <v>4206</v>
      </c>
      <c r="B57" s="298" t="s">
        <v>4207</v>
      </c>
      <c r="C57" s="306">
        <v>2</v>
      </c>
      <c r="D57" s="298" t="s">
        <v>4108</v>
      </c>
      <c r="E57" s="297" t="str">
        <f t="shared" si="0"/>
        <v>Humanoïde</v>
      </c>
      <c r="F57" s="297" t="str">
        <f>VLOOKUP(E57,'Types de monstres'!$A$2:$B$17,2,FALSE)</f>
        <v>HUMANOID</v>
      </c>
      <c r="G57" s="297" t="str">
        <f t="shared" si="1"/>
        <v>toute race</v>
      </c>
      <c r="H57" s="297" t="str">
        <f>IF(OR(G57="",G57="toute race"),"",VLOOKUP(G57,'Types de monstres'!$F$2:$G$49,2,FALSE))</f>
        <v/>
      </c>
      <c r="I57" s="298" t="s">
        <v>4091</v>
      </c>
      <c r="J57" s="300">
        <v>15</v>
      </c>
      <c r="K57" s="300">
        <v>65</v>
      </c>
      <c r="L57" s="298"/>
      <c r="M57" s="298" t="s">
        <v>4205</v>
      </c>
      <c r="N57" s="297" t="str">
        <f>IF(M57="sans alignement","",IF(M57="tout alignement", """1_LB"", ""2_NB"", ""3_CB"", ""4_LN"", ""5_NN"", ""6_CN"", ""7_LM"", ""8_NM"", ""9_CM""",IF(M57="tout alignement non bon", """4_LN"", ""5_NN"", ""6_CN"", ""7_LM"", ""8_NM"", ""9_CM""",IF(M57="tout alignement mauvais", """7_LM"", ""8_NM"", ""9_CM""",IF(M57="tout alignement chaotique", """3_CB"", ""6_CN"", ""9_CM""",IF(M57="tout alignement non loyal", """2_NB"", ""3_CB"", ""5_NN"", ""6_CN"", ""8_NM"", ""9_CM""",""""&amp;VLOOKUP(M57,Alignements!$A$2:$B$10,2, FALSE)&amp;""""))))))</f>
        <v>"2_NB", "3_CB", "5_NN", "6_CN", "8_NM", "9_CM"</v>
      </c>
      <c r="O57" s="298"/>
      <c r="P57" t="str">
        <f t="shared" si="2"/>
        <v>"Bandit, capitaine": {
  "Name" : "Bandit, capitaine",
  "VO" : "Bandit Captain",
  "Family" : "HUMANOID",
  "Species" : [""],
  "FP" : "2", 
  "Size" : "M",
  "AC" : 15,
  "HP" : 65, 
  "Speed" : "",
  "Alignments" : ["2_NB", "3_CB", "5_NN", "6_CN", "8_NM", "9_CM"],
  "Legendary" : ""}</v>
      </c>
    </row>
    <row r="58" spans="1:16">
      <c r="A58" s="61" t="s">
        <v>4208</v>
      </c>
      <c r="B58" s="297" t="s">
        <v>4209</v>
      </c>
      <c r="C58" s="305">
        <v>4</v>
      </c>
      <c r="D58" s="297" t="s">
        <v>4117</v>
      </c>
      <c r="E58" s="297" t="str">
        <f t="shared" si="0"/>
        <v>Mort-vivant</v>
      </c>
      <c r="F58" s="297" t="str">
        <f>VLOOKUP(E58,'Types de monstres'!$A$2:$B$17,2,FALSE)</f>
        <v>UNDEAD</v>
      </c>
      <c r="G58" s="297" t="str">
        <f t="shared" si="1"/>
        <v/>
      </c>
      <c r="H58" s="297" t="str">
        <f>IF(OR(G58="",G58="toute race"),"",VLOOKUP(G58,'Types de monstres'!$F$2:$G$49,2,FALSE))</f>
        <v/>
      </c>
      <c r="I58" s="297" t="s">
        <v>4091</v>
      </c>
      <c r="J58" s="302">
        <v>12</v>
      </c>
      <c r="K58" s="302">
        <v>58</v>
      </c>
      <c r="L58" s="297" t="s">
        <v>4092</v>
      </c>
      <c r="M58" s="297" t="s">
        <v>4137</v>
      </c>
      <c r="N58" s="297" t="str">
        <f>IF(M58="sans alignement","",IF(M58="tout alignement", """1_LB"", ""2_NB"", ""3_CB"", ""4_LN"", ""5_NN"", ""6_CN"", ""7_LM"", ""8_NM"", ""9_CM""",IF(M58="tout alignement non bon", """4_LN"", ""5_NN"", ""6_CN"", ""7_LM"", ""8_NM"", ""9_CM""",IF(M58="tout alignement mauvais", """7_LM"", ""8_NM"", ""9_CM""",IF(M58="tout alignement chaotique", """3_CB"", ""6_CN"", ""9_CM""",IF(M58="tout alignement non loyal", """2_NB"", ""3_CB"", ""5_NN"", ""6_CN"", ""8_NM"", ""9_CM""",""""&amp;VLOOKUP(M58,Alignements!$A$2:$B$10,2, FALSE)&amp;""""))))))</f>
        <v>"9_CM"</v>
      </c>
      <c r="O58" s="297"/>
      <c r="P58" t="str">
        <f t="shared" si="2"/>
        <v>"Banshie": {
  "Name" : "Banshie",
  "VO" : "Banshee",
  "Family" : "UNDEAD",
  "Species" : [""],
  "FP" : "4", 
  "Size" : "M",
  "AC" : 12,
  "HP" : 58, 
  "Speed" : "vol",
  "Alignments" : ["9_CM"],
  "Legendary" : ""}</v>
      </c>
    </row>
    <row r="59" spans="1:16">
      <c r="A59" s="299" t="s">
        <v>4210</v>
      </c>
      <c r="B59" s="298" t="s">
        <v>4210</v>
      </c>
      <c r="C59" s="306">
        <v>23</v>
      </c>
      <c r="D59" s="298" t="s">
        <v>4136</v>
      </c>
      <c r="E59" s="297" t="str">
        <f t="shared" si="0"/>
        <v>Fiélon</v>
      </c>
      <c r="F59" s="297" t="str">
        <f>VLOOKUP(E59,'Types de monstres'!$A$2:$B$17,2,FALSE)</f>
        <v>FIEND</v>
      </c>
      <c r="G59" s="297" t="str">
        <f t="shared" si="1"/>
        <v>démon</v>
      </c>
      <c r="H59" s="297" t="str">
        <f>IF(OR(G59="",G59="toute race"),"",VLOOKUP(G59,'Types de monstres'!$F$2:$G$49,2,FALSE))</f>
        <v>DAEMON</v>
      </c>
      <c r="I59" s="298" t="s">
        <v>4149</v>
      </c>
      <c r="J59" s="300">
        <v>22</v>
      </c>
      <c r="K59" s="300">
        <v>275</v>
      </c>
      <c r="L59" s="298"/>
      <c r="M59" s="298" t="s">
        <v>4137</v>
      </c>
      <c r="N59" s="297" t="str">
        <f>IF(M59="sans alignement","",IF(M59="tout alignement", """1_LB"", ""2_NB"", ""3_CB"", ""4_LN"", ""5_NN"", ""6_CN"", ""7_LM"", ""8_NM"", ""9_CM""",IF(M59="tout alignement non bon", """4_LN"", ""5_NN"", ""6_CN"", ""7_LM"", ""8_NM"", ""9_CM""",IF(M59="tout alignement mauvais", """7_LM"", ""8_NM"", ""9_CM""",IF(M59="tout alignement chaotique", """3_CB"", ""6_CN"", ""9_CM""",IF(M59="tout alignement non loyal", """2_NB"", ""3_CB"", ""5_NN"", ""6_CN"", ""8_NM"", ""9_CM""",""""&amp;VLOOKUP(M59,Alignements!$A$2:$B$10,2, FALSE)&amp;""""))))))</f>
        <v>"9_CM"</v>
      </c>
      <c r="O59" s="298"/>
      <c r="P59" t="str">
        <f t="shared" si="2"/>
        <v>"Baphomet": {
  "Name" : "Baphomet",
  "VO" : "Baphomet",
  "Family" : "FIEND",
  "Species" : ["DAEMON"],
  "FP" : "23", 
  "Size" : "TG",
  "AC" : 22,
  "HP" : 275, 
  "Speed" : "",
  "Alignments" : ["9_CM"],
  "Legendary" : ""}</v>
      </c>
    </row>
    <row r="60" spans="1:16">
      <c r="A60" s="61" t="s">
        <v>288</v>
      </c>
      <c r="B60" s="297" t="s">
        <v>276</v>
      </c>
      <c r="C60" s="305">
        <v>2</v>
      </c>
      <c r="D60" s="297" t="s">
        <v>4108</v>
      </c>
      <c r="E60" s="297" t="str">
        <f t="shared" si="0"/>
        <v>Humanoïde</v>
      </c>
      <c r="F60" s="297" t="str">
        <f>VLOOKUP(E60,'Types de monstres'!$A$2:$B$17,2,FALSE)</f>
        <v>HUMANOID</v>
      </c>
      <c r="G60" s="297" t="str">
        <f t="shared" si="1"/>
        <v>toute race</v>
      </c>
      <c r="H60" s="297" t="str">
        <f>IF(OR(G60="",G60="toute race"),"",VLOOKUP(G60,'Types de monstres'!$F$2:$G$49,2,FALSE))</f>
        <v/>
      </c>
      <c r="I60" s="297" t="s">
        <v>4091</v>
      </c>
      <c r="J60" s="302">
        <v>15</v>
      </c>
      <c r="K60" s="302">
        <v>44</v>
      </c>
      <c r="L60" s="297"/>
      <c r="M60" s="297" t="s">
        <v>4109</v>
      </c>
      <c r="N60" s="297" t="str">
        <f>IF(M60="sans alignement","",IF(M60="tout alignement", """1_LB"", ""2_NB"", ""3_CB"", ""4_LN"", ""5_NN"", ""6_CN"", ""7_LM"", ""8_NM"", ""9_CM""",IF(M60="tout alignement non bon", """4_LN"", ""5_NN"", ""6_CN"", ""7_LM"", ""8_NM"", ""9_CM""",IF(M60="tout alignement mauvais", """7_LM"", ""8_NM"", ""9_CM""",IF(M60="tout alignement chaotique", """3_CB"", ""6_CN"", ""9_CM""",IF(M60="tout alignement non loyal", """2_NB"", ""3_CB"", ""5_NN"", ""6_CN"", ""8_NM"", ""9_CM""",""""&amp;VLOOKUP(M60,Alignements!$A$2:$B$10,2, FALSE)&amp;""""))))))</f>
        <v>"1_LB", "2_NB", "3_CB", "4_LN", "5_NN", "6_CN", "7_LM", "8_NM", "9_CM"</v>
      </c>
      <c r="O60" s="297"/>
      <c r="P60" t="str">
        <f t="shared" si="2"/>
        <v>"Barde": {
  "Name" : "Barde",
  "VO" : "Bard",
  "Family" : "HUMANOID",
  "Species" : [""],
  "FP" : "2", 
  "Size" : "M",
  "AC" : 15,
  "HP" : 44, 
  "Speed" : "",
  "Alignments" : ["1_LB", "2_NB", "3_CB", "4_LN", "5_NN", "6_CN", "7_LM", "8_NM", "9_CM"],
  "Legendary" : ""}</v>
      </c>
    </row>
    <row r="61" spans="1:16">
      <c r="A61" s="61" t="s">
        <v>4211</v>
      </c>
      <c r="B61" s="298" t="s">
        <v>4211</v>
      </c>
      <c r="C61" s="306">
        <v>4</v>
      </c>
      <c r="D61" s="298" t="s">
        <v>4212</v>
      </c>
      <c r="E61" s="297" t="str">
        <f t="shared" si="0"/>
        <v>Fiélon</v>
      </c>
      <c r="F61" s="297" t="str">
        <f>VLOOKUP(E61,'Types de monstres'!$A$2:$B$17,2,FALSE)</f>
        <v>FIEND</v>
      </c>
      <c r="G61" s="297" t="str">
        <f t="shared" si="1"/>
        <v>métamorphe</v>
      </c>
      <c r="H61" s="297" t="str">
        <f>IF(OR(G61="",G61="toute race"),"",VLOOKUP(G61,'Types de monstres'!$F$2:$G$49,2,FALSE))</f>
        <v>METAMORPH</v>
      </c>
      <c r="I61" s="298" t="s">
        <v>4112</v>
      </c>
      <c r="J61" s="300">
        <v>17</v>
      </c>
      <c r="K61" s="300">
        <v>90</v>
      </c>
      <c r="L61" s="298"/>
      <c r="M61" s="298" t="s">
        <v>4118</v>
      </c>
      <c r="N61" s="297" t="str">
        <f>IF(M61="sans alignement","",IF(M61="tout alignement", """1_LB"", ""2_NB"", ""3_CB"", ""4_LN"", ""5_NN"", ""6_CN"", ""7_LM"", ""8_NM"", ""9_CM""",IF(M61="tout alignement non bon", """4_LN"", ""5_NN"", ""6_CN"", ""7_LM"", ""8_NM"", ""9_CM""",IF(M61="tout alignement mauvais", """7_LM"", ""8_NM"", ""9_CM""",IF(M61="tout alignement chaotique", """3_CB"", ""6_CN"", ""9_CM""",IF(M61="tout alignement non loyal", """2_NB"", ""3_CB"", ""5_NN"", ""6_CN"", ""8_NM"", ""9_CM""",""""&amp;VLOOKUP(M61,Alignements!$A$2:$B$10,2, FALSE)&amp;""""))))))</f>
        <v>"8_NM"</v>
      </c>
      <c r="O61" s="298"/>
      <c r="P61" t="str">
        <f t="shared" si="2"/>
        <v>"Barghest": {
  "Name" : "Barghest",
  "VO" : "Barghest",
  "Family" : "FIEND",
  "Species" : ["METAMORPH"],
  "FP" : "4", 
  "Size" : "G",
  "AC" : 17,
  "HP" : 90, 
  "Speed" : "",
  "Alignments" : ["8_NM"],
  "Legendary" : ""}</v>
      </c>
    </row>
    <row r="62" spans="1:16">
      <c r="A62" s="61" t="s">
        <v>4213</v>
      </c>
      <c r="B62" s="297" t="s">
        <v>4213</v>
      </c>
      <c r="C62" s="305">
        <v>5</v>
      </c>
      <c r="D62" s="297" t="s">
        <v>4136</v>
      </c>
      <c r="E62" s="297" t="str">
        <f t="shared" si="0"/>
        <v>Fiélon</v>
      </c>
      <c r="F62" s="297" t="str">
        <f>VLOOKUP(E62,'Types de monstres'!$A$2:$B$17,2,FALSE)</f>
        <v>FIEND</v>
      </c>
      <c r="G62" s="297" t="str">
        <f t="shared" si="1"/>
        <v>démon</v>
      </c>
      <c r="H62" s="297" t="str">
        <f>IF(OR(G62="",G62="toute race"),"",VLOOKUP(G62,'Types de monstres'!$F$2:$G$49,2,FALSE))</f>
        <v>DAEMON</v>
      </c>
      <c r="I62" s="297" t="s">
        <v>4112</v>
      </c>
      <c r="J62" s="302">
        <v>15</v>
      </c>
      <c r="K62" s="302">
        <v>68</v>
      </c>
      <c r="L62" s="297"/>
      <c r="M62" s="297" t="s">
        <v>4137</v>
      </c>
      <c r="N62" s="297" t="str">
        <f>IF(M62="sans alignement","",IF(M62="tout alignement", """1_LB"", ""2_NB"", ""3_CB"", ""4_LN"", ""5_NN"", ""6_CN"", ""7_LM"", ""8_NM"", ""9_CM""",IF(M62="tout alignement non bon", """4_LN"", ""5_NN"", ""6_CN"", ""7_LM"", ""8_NM"", ""9_CM""",IF(M62="tout alignement mauvais", """7_LM"", ""8_NM"", ""9_CM""",IF(M62="tout alignement chaotique", """3_CB"", ""6_CN"", ""9_CM""",IF(M62="tout alignement non loyal", """2_NB"", ""3_CB"", ""5_NN"", ""6_CN"", ""8_NM"", ""9_CM""",""""&amp;VLOOKUP(M62,Alignements!$A$2:$B$10,2, FALSE)&amp;""""))))))</f>
        <v>"9_CM"</v>
      </c>
      <c r="O62" s="297"/>
      <c r="P62" t="str">
        <f t="shared" si="2"/>
        <v>"Barlgura": {
  "Name" : "Barlgura",
  "VO" : "Barlgura",
  "Family" : "FIEND",
  "Species" : ["DAEMON"],
  "FP" : "5", 
  "Size" : "G",
  "AC" : 15,
  "HP" : 68, 
  "Speed" : "",
  "Alignments" : ["9_CM"],
  "Legendary" : ""}</v>
      </c>
    </row>
    <row r="63" spans="1:16">
      <c r="A63" s="61" t="s">
        <v>4214</v>
      </c>
      <c r="B63" s="298" t="s">
        <v>4215</v>
      </c>
      <c r="C63" s="306">
        <v>3</v>
      </c>
      <c r="D63" s="298" t="s">
        <v>4121</v>
      </c>
      <c r="E63" s="297" t="str">
        <f t="shared" si="0"/>
        <v>Créature monstrueuse</v>
      </c>
      <c r="F63" s="297" t="str">
        <f>VLOOKUP(E63,'Types de monstres'!$A$2:$B$17,2,FALSE)</f>
        <v>MONSTROUS_CREATURE</v>
      </c>
      <c r="G63" s="297" t="str">
        <f t="shared" si="1"/>
        <v/>
      </c>
      <c r="H63" s="297" t="str">
        <f>IF(OR(G63="",G63="toute race"),"",VLOOKUP(G63,'Types de monstres'!$F$2:$G$49,2,FALSE))</f>
        <v/>
      </c>
      <c r="I63" s="298" t="s">
        <v>4091</v>
      </c>
      <c r="J63" s="300">
        <v>15</v>
      </c>
      <c r="K63" s="300">
        <v>52</v>
      </c>
      <c r="L63" s="298"/>
      <c r="M63" s="298" t="s">
        <v>4130</v>
      </c>
      <c r="N63" s="297" t="str">
        <f>IF(M63="sans alignement","",IF(M63="tout alignement", """1_LB"", ""2_NB"", ""3_CB"", ""4_LN"", ""5_NN"", ""6_CN"", ""7_LM"", ""8_NM"", ""9_CM""",IF(M63="tout alignement non bon", """4_LN"", ""5_NN"", ""6_CN"", ""7_LM"", ""8_NM"", ""9_CM""",IF(M63="tout alignement mauvais", """7_LM"", ""8_NM"", ""9_CM""",IF(M63="tout alignement chaotique", """3_CB"", ""6_CN"", ""9_CM""",IF(M63="tout alignement non loyal", """2_NB"", ""3_CB"", ""5_NN"", ""6_CN"", ""8_NM"", ""9_CM""",""""&amp;VLOOKUP(M63,Alignements!$A$2:$B$10,2, FALSE)&amp;""""))))))</f>
        <v/>
      </c>
      <c r="O63" s="298"/>
      <c r="P63" t="str">
        <f t="shared" si="2"/>
        <v>"Basilic": {
  "Name" : "Basilic",
  "VO" : "Basilisk",
  "Family" : "MONSTROUS_CREATURE",
  "Species" : [""],
  "FP" : "3", 
  "Size" : "M",
  "AC" : 15,
  "HP" : 52, 
  "Speed" : "",
  "Alignments" : [],
  "Legendary" : ""}</v>
      </c>
    </row>
    <row r="64" spans="1:16">
      <c r="A64" s="301" t="s">
        <v>4216</v>
      </c>
      <c r="B64" s="297" t="s">
        <v>4217</v>
      </c>
      <c r="C64" s="305">
        <v>7</v>
      </c>
      <c r="D64" s="297" t="s">
        <v>4121</v>
      </c>
      <c r="E64" s="297" t="str">
        <f t="shared" si="0"/>
        <v>Créature monstrueuse</v>
      </c>
      <c r="F64" s="297" t="str">
        <f>VLOOKUP(E64,'Types de monstres'!$A$2:$B$17,2,FALSE)</f>
        <v>MONSTROUS_CREATURE</v>
      </c>
      <c r="G64" s="297" t="str">
        <f t="shared" si="1"/>
        <v/>
      </c>
      <c r="H64" s="297" t="str">
        <f>IF(OR(G64="",G64="toute race"),"",VLOOKUP(G64,'Types de monstres'!$F$2:$G$49,2,FALSE))</f>
        <v/>
      </c>
      <c r="I64" s="297" t="s">
        <v>4149</v>
      </c>
      <c r="J64" s="302">
        <v>16</v>
      </c>
      <c r="K64" s="302">
        <v>85</v>
      </c>
      <c r="L64" s="297" t="s">
        <v>4113</v>
      </c>
      <c r="M64" s="297" t="s">
        <v>4130</v>
      </c>
      <c r="N64" s="297" t="str">
        <f>IF(M64="sans alignement","",IF(M64="tout alignement", """1_LB"", ""2_NB"", ""3_CB"", ""4_LN"", ""5_NN"", ""6_CN"", ""7_LM"", ""8_NM"", ""9_CM""",IF(M64="tout alignement non bon", """4_LN"", ""5_NN"", ""6_CN"", ""7_LM"", ""8_NM"", ""9_CM""",IF(M64="tout alignement mauvais", """7_LM"", ""8_NM"", ""9_CM""",IF(M64="tout alignement chaotique", """3_CB"", ""6_CN"", ""9_CM""",IF(M64="tout alignement non loyal", """2_NB"", ""3_CB"", ""5_NN"", ""6_CN"", ""8_NM"", ""9_CM""",""""&amp;VLOOKUP(M64,Alignements!$A$2:$B$10,2, FALSE)&amp;""""))))))</f>
        <v/>
      </c>
      <c r="O64" s="297"/>
      <c r="P64" t="str">
        <f t="shared" si="2"/>
        <v>"Basilic, swavien": {
  "Name" : "Basilic, swavien",
  "VO" : "Swavain Basilisk",
  "Family" : "MONSTROUS_CREATURE",
  "Species" : [""],
  "FP" : "7", 
  "Size" : "TG",
  "AC" : 16,
  "HP" : 85, 
  "Speed" : "nage",
  "Alignments" : [],
  "Legendary" : ""}</v>
      </c>
    </row>
    <row r="65" spans="1:16">
      <c r="A65" s="61" t="s">
        <v>4218</v>
      </c>
      <c r="B65" s="298" t="s">
        <v>4219</v>
      </c>
      <c r="C65" s="306" t="s">
        <v>5618</v>
      </c>
      <c r="D65" s="298" t="s">
        <v>4128</v>
      </c>
      <c r="E65" s="297" t="str">
        <f t="shared" si="0"/>
        <v>Bête</v>
      </c>
      <c r="F65" s="297" t="str">
        <f>VLOOKUP(E65,'Types de monstres'!$A$2:$B$17,2,FALSE)</f>
        <v>BEAST</v>
      </c>
      <c r="G65" s="297" t="str">
        <f t="shared" si="1"/>
        <v/>
      </c>
      <c r="H65" s="297" t="str">
        <f>IF(OR(G65="",G65="toute race"),"",VLOOKUP(G65,'Types de monstres'!$F$2:$G$49,2,FALSE))</f>
        <v/>
      </c>
      <c r="I65" s="298" t="s">
        <v>4112</v>
      </c>
      <c r="J65" s="300">
        <v>11</v>
      </c>
      <c r="K65" s="300">
        <v>19</v>
      </c>
      <c r="L65" s="298"/>
      <c r="M65" s="298" t="s">
        <v>4130</v>
      </c>
      <c r="N65" s="297" t="str">
        <f>IF(M65="sans alignement","",IF(M65="tout alignement", """1_LB"", ""2_NB"", ""3_CB"", ""4_LN"", ""5_NN"", ""6_CN"", ""7_LM"", ""8_NM"", ""9_CM""",IF(M65="tout alignement non bon", """4_LN"", ""5_NN"", ""6_CN"", ""7_LM"", ""8_NM"", ""9_CM""",IF(M65="tout alignement mauvais", """7_LM"", ""8_NM"", ""9_CM""",IF(M65="tout alignement chaotique", """3_CB"", ""6_CN"", ""9_CM""",IF(M65="tout alignement non loyal", """2_NB"", ""3_CB"", ""5_NN"", ""6_CN"", ""8_NM"", ""9_CM""",""""&amp;VLOOKUP(M65,Alignements!$A$2:$B$10,2, FALSE)&amp;""""))))))</f>
        <v/>
      </c>
      <c r="O65" s="298"/>
      <c r="P65" t="str">
        <f t="shared" si="2"/>
        <v>"Bec de hache": {
  "Name" : "Bec de hache",
  "VO" : "Axe Beak",
  "Family" : "BEAST",
  "Species" : [""],
  "FP" : "1/4", 
  "Size" : "G",
  "AC" : 11,
  "HP" : 19, 
  "Speed" : "",
  "Alignments" : [],
  "Legendary" : ""}</v>
      </c>
    </row>
    <row r="66" spans="1:16">
      <c r="A66" s="61" t="s">
        <v>4220</v>
      </c>
      <c r="B66" s="297" t="s">
        <v>4221</v>
      </c>
      <c r="C66" s="305">
        <v>11</v>
      </c>
      <c r="D66" s="297" t="s">
        <v>4121</v>
      </c>
      <c r="E66" s="297" t="str">
        <f t="shared" si="0"/>
        <v>Créature monstrueuse</v>
      </c>
      <c r="F66" s="297" t="str">
        <f>VLOOKUP(E66,'Types de monstres'!$A$2:$B$17,2,FALSE)</f>
        <v>MONSTROUS_CREATURE</v>
      </c>
      <c r="G66" s="297" t="str">
        <f t="shared" si="1"/>
        <v/>
      </c>
      <c r="H66" s="297" t="str">
        <f>IF(OR(G66="",G66="toute race"),"",VLOOKUP(G66,'Types de monstres'!$F$2:$G$49,2,FALSE))</f>
        <v/>
      </c>
      <c r="I66" s="297" t="s">
        <v>4149</v>
      </c>
      <c r="J66" s="302">
        <v>17</v>
      </c>
      <c r="K66" s="302">
        <v>168</v>
      </c>
      <c r="L66" s="297"/>
      <c r="M66" s="297" t="s">
        <v>4118</v>
      </c>
      <c r="N66" s="297" t="str">
        <f>IF(M66="sans alignement","",IF(M66="tout alignement", """1_LB"", ""2_NB"", ""3_CB"", ""4_LN"", ""5_NN"", ""6_CN"", ""7_LM"", ""8_NM"", ""9_CM""",IF(M66="tout alignement non bon", """4_LN"", ""5_NN"", ""6_CN"", ""7_LM"", ""8_NM"", ""9_CM""",IF(M66="tout alignement mauvais", """7_LM"", ""8_NM"", ""9_CM""",IF(M66="tout alignement chaotique", """3_CB"", ""6_CN"", ""9_CM""",IF(M66="tout alignement non loyal", """2_NB"", ""3_CB"", ""5_NN"", ""6_CN"", ""8_NM"", ""9_CM""",""""&amp;VLOOKUP(M66,Alignements!$A$2:$B$10,2, FALSE)&amp;""""))))))</f>
        <v>"8_NM"</v>
      </c>
      <c r="O66" s="297"/>
      <c r="P66" t="str">
        <f t="shared" si="2"/>
        <v>"Béhir": {
  "Name" : "Béhir",
  "VO" : "Behir",
  "Family" : "MONSTROUS_CREATURE",
  "Species" : [""],
  "FP" : "11", 
  "Size" : "TG",
  "AC" : 17,
  "HP" : 168, 
  "Speed" : "",
  "Alignments" : ["8_NM"],
  "Legendary" : ""}</v>
      </c>
    </row>
    <row r="67" spans="1:16">
      <c r="A67" s="61" t="s">
        <v>4222</v>
      </c>
      <c r="B67" s="298" t="s">
        <v>4222</v>
      </c>
      <c r="C67" s="306">
        <v>20</v>
      </c>
      <c r="D67" s="298" t="s">
        <v>4136</v>
      </c>
      <c r="E67" s="297" t="str">
        <f t="shared" ref="E67:E130" si="3">IF(ISERROR( FIND("(",D67) ),D67,LEFT(D67, FIND("(",D67)-2))</f>
        <v>Fiélon</v>
      </c>
      <c r="F67" s="297" t="str">
        <f>VLOOKUP(E67,'Types de monstres'!$A$2:$B$17,2,FALSE)</f>
        <v>FIEND</v>
      </c>
      <c r="G67" s="297" t="str">
        <f t="shared" ref="G67:G130" si="4">IF(ISERROR( FIND("(",D67) ),"",RIGHT(LEFT(D67,LEN(D67)-1), LEN(D67)-FIND("(",D67)-1))</f>
        <v>démon</v>
      </c>
      <c r="H67" s="297" t="str">
        <f>IF(OR(G67="",G67="toute race"),"",VLOOKUP(G67,'Types de monstres'!$F$2:$G$49,2,FALSE))</f>
        <v>DAEMON</v>
      </c>
      <c r="I67" s="298" t="s">
        <v>4149</v>
      </c>
      <c r="J67" s="300">
        <v>19</v>
      </c>
      <c r="K67" s="300">
        <v>262</v>
      </c>
      <c r="L67" s="298" t="s">
        <v>4092</v>
      </c>
      <c r="M67" s="298" t="s">
        <v>4137</v>
      </c>
      <c r="N67" s="297" t="str">
        <f>IF(M67="sans alignement","",IF(M67="tout alignement", """1_LB"", ""2_NB"", ""3_CB"", ""4_LN"", ""5_NN"", ""6_CN"", ""7_LM"", ""8_NM"", ""9_CM""",IF(M67="tout alignement non bon", """4_LN"", ""5_NN"", ""6_CN"", ""7_LM"", ""8_NM"", ""9_CM""",IF(M67="tout alignement mauvais", """7_LM"", ""8_NM"", ""9_CM""",IF(M67="tout alignement chaotique", """3_CB"", ""6_CN"", ""9_CM""",IF(M67="tout alignement non loyal", """2_NB"", ""3_CB"", ""5_NN"", ""6_CN"", ""8_NM"", ""9_CM""",""""&amp;VLOOKUP(M67,Alignements!$A$2:$B$10,2, FALSE)&amp;""""))))))</f>
        <v>"9_CM"</v>
      </c>
      <c r="O67" s="298"/>
      <c r="P67" t="str">
        <f t="shared" ref="P67:P130" si="5">""""&amp;A67&amp;""": {
  ""Name"" : """&amp;A67&amp;""",
  ""VO"" : """&amp;B67&amp;""",
  ""Family"" : """&amp;F67&amp;""",
  ""Species"" : ["""&amp;SUBSTITUTE(H67,", ",""", """)&amp;"""],
  ""FP"" : """&amp;SUBSTITUTE(C67,"""","")&amp;""", 
  ""Size"" : """&amp;I67&amp;""",
  ""AC"" : "&amp;J67&amp;",
  ""HP"" : "&amp;K67&amp;", 
  ""Speed"" : """&amp;L67&amp;""",
  ""Alignments"" : ["&amp;N67&amp;"],
  ""Legendary"" : """&amp;O67&amp;"""}"</f>
        <v>"Belaphoss": {
  "Name" : "Belaphoss",
  "VO" : "Belaphoss",
  "Family" : "FIEND",
  "Species" : ["DAEMON"],
  "FP" : "20", 
  "Size" : "TG",
  "AC" : 19,
  "HP" : 262, 
  "Speed" : "vol",
  "Alignments" : ["9_CM"],
  "Legendary" : ""}</v>
      </c>
    </row>
    <row r="68" spans="1:16">
      <c r="A68" s="301" t="s">
        <v>4223</v>
      </c>
      <c r="B68" s="297" t="s">
        <v>4223</v>
      </c>
      <c r="C68" s="305">
        <v>22</v>
      </c>
      <c r="D68" s="297" t="s">
        <v>4111</v>
      </c>
      <c r="E68" s="297" t="str">
        <f t="shared" si="3"/>
        <v>Aberration</v>
      </c>
      <c r="F68" s="297" t="str">
        <f>VLOOKUP(E68,'Types de monstres'!$A$2:$B$17,2,FALSE)</f>
        <v>ABERRATION</v>
      </c>
      <c r="G68" s="297" t="str">
        <f t="shared" si="4"/>
        <v/>
      </c>
      <c r="H68" s="297" t="str">
        <f>IF(OR(G68="",G68="toute race"),"",VLOOKUP(G68,'Types de monstres'!$F$2:$G$49,2,FALSE))</f>
        <v/>
      </c>
      <c r="I68" s="297" t="s">
        <v>4091</v>
      </c>
      <c r="J68" s="302">
        <v>19</v>
      </c>
      <c r="K68" s="302">
        <v>304</v>
      </c>
      <c r="L68" s="297" t="s">
        <v>4092</v>
      </c>
      <c r="M68" s="297" t="s">
        <v>4137</v>
      </c>
      <c r="N68" s="297" t="str">
        <f>IF(M68="sans alignement","",IF(M68="tout alignement", """1_LB"", ""2_NB"", ""3_CB"", ""4_LN"", ""5_NN"", ""6_CN"", ""7_LM"", ""8_NM"", ""9_CM""",IF(M68="tout alignement non bon", """4_LN"", ""5_NN"", ""6_CN"", ""7_LM"", ""8_NM"", ""9_CM""",IF(M68="tout alignement mauvais", """7_LM"", ""8_NM"", ""9_CM""",IF(M68="tout alignement chaotique", """3_CB"", ""6_CN"", ""9_CM""",IF(M68="tout alignement non loyal", """2_NB"", ""3_CB"", ""5_NN"", ""6_CN"", ""8_NM"", ""9_CM""",""""&amp;VLOOKUP(M68,Alignements!$A$2:$B$10,2, FALSE)&amp;""""))))))</f>
        <v>"9_CM"</v>
      </c>
      <c r="O68" s="297"/>
      <c r="P68" t="str">
        <f t="shared" si="5"/>
        <v>"Belashyrra": {
  "Name" : "Belashyrra",
  "VO" : "Belashyrra",
  "Family" : "ABERRATION",
  "Species" : [""],
  "FP" : "22", 
  "Size" : "M",
  "AC" : 19,
  "HP" : 304, 
  "Speed" : "vol",
  "Alignments" : ["9_CM"],
  "Legendary" : ""}</v>
      </c>
    </row>
    <row r="69" spans="1:16">
      <c r="A69" s="61" t="s">
        <v>4224</v>
      </c>
      <c r="B69" s="298" t="s">
        <v>4225</v>
      </c>
      <c r="C69" s="306">
        <v>0</v>
      </c>
      <c r="D69" s="298" t="s">
        <v>4128</v>
      </c>
      <c r="E69" s="297" t="str">
        <f t="shared" si="3"/>
        <v>Bête</v>
      </c>
      <c r="F69" s="297" t="str">
        <f>VLOOKUP(E69,'Types de monstres'!$A$2:$B$17,2,FALSE)</f>
        <v>BEAST</v>
      </c>
      <c r="G69" s="297" t="str">
        <f t="shared" si="4"/>
        <v/>
      </c>
      <c r="H69" s="297" t="str">
        <f>IF(OR(G69="",G69="toute race"),"",VLOOKUP(G69,'Types de monstres'!$F$2:$G$49,2,FALSE))</f>
        <v/>
      </c>
      <c r="I69" s="298" t="s">
        <v>4154</v>
      </c>
      <c r="J69" s="300">
        <v>13</v>
      </c>
      <c r="K69" s="300">
        <v>1</v>
      </c>
      <c r="L69" s="298"/>
      <c r="M69" s="298" t="s">
        <v>4130</v>
      </c>
      <c r="N69" s="297" t="str">
        <f>IF(M69="sans alignement","",IF(M69="tout alignement", """1_LB"", ""2_NB"", ""3_CB"", ""4_LN"", ""5_NN"", ""6_CN"", ""7_LM"", ""8_NM"", ""9_CM""",IF(M69="tout alignement non bon", """4_LN"", ""5_NN"", ""6_CN"", ""7_LM"", ""8_NM"", ""9_CM""",IF(M69="tout alignement mauvais", """7_LM"", ""8_NM"", ""9_CM""",IF(M69="tout alignement chaotique", """3_CB"", ""6_CN"", ""9_CM""",IF(M69="tout alignement non loyal", """2_NB"", ""3_CB"", ""5_NN"", ""6_CN"", ""8_NM"", ""9_CM""",""""&amp;VLOOKUP(M69,Alignements!$A$2:$B$10,2, FALSE)&amp;""""))))))</f>
        <v/>
      </c>
      <c r="O69" s="298"/>
      <c r="P69" t="str">
        <f t="shared" si="5"/>
        <v>"Belette": {
  "Name" : "Belette",
  "VO" : "Weasel",
  "Family" : "BEAST",
  "Species" : [""],
  "FP" : "0", 
  "Size" : "TP",
  "AC" : 13,
  "HP" : 1, 
  "Speed" : "",
  "Alignments" : [],
  "Legendary" : ""}</v>
      </c>
    </row>
    <row r="70" spans="1:16">
      <c r="A70" s="61" t="s">
        <v>4226</v>
      </c>
      <c r="B70" s="297" t="s">
        <v>4227</v>
      </c>
      <c r="C70" s="305" t="s">
        <v>5619</v>
      </c>
      <c r="D70" s="297" t="s">
        <v>4128</v>
      </c>
      <c r="E70" s="297" t="str">
        <f t="shared" si="3"/>
        <v>Bête</v>
      </c>
      <c r="F70" s="297" t="str">
        <f>VLOOKUP(E70,'Types de monstres'!$A$2:$B$17,2,FALSE)</f>
        <v>BEAST</v>
      </c>
      <c r="G70" s="297" t="str">
        <f t="shared" si="4"/>
        <v/>
      </c>
      <c r="H70" s="297" t="str">
        <f>IF(OR(G70="",G70="toute race"),"",VLOOKUP(G70,'Types de monstres'!$F$2:$G$49,2,FALSE))</f>
        <v/>
      </c>
      <c r="I70" s="297" t="s">
        <v>4091</v>
      </c>
      <c r="J70" s="302">
        <v>13</v>
      </c>
      <c r="K70" s="302">
        <v>9</v>
      </c>
      <c r="L70" s="297"/>
      <c r="M70" s="297" t="s">
        <v>4130</v>
      </c>
      <c r="N70" s="297" t="str">
        <f>IF(M70="sans alignement","",IF(M70="tout alignement", """1_LB"", ""2_NB"", ""3_CB"", ""4_LN"", ""5_NN"", ""6_CN"", ""7_LM"", ""8_NM"", ""9_CM""",IF(M70="tout alignement non bon", """4_LN"", ""5_NN"", ""6_CN"", ""7_LM"", ""8_NM"", ""9_CM""",IF(M70="tout alignement mauvais", """7_LM"", ""8_NM"", ""9_CM""",IF(M70="tout alignement chaotique", """3_CB"", ""6_CN"", ""9_CM""",IF(M70="tout alignement non loyal", """2_NB"", ""3_CB"", ""5_NN"", ""6_CN"", ""8_NM"", ""9_CM""",""""&amp;VLOOKUP(M70,Alignements!$A$2:$B$10,2, FALSE)&amp;""""))))))</f>
        <v/>
      </c>
      <c r="O70" s="297"/>
      <c r="P70" t="str">
        <f t="shared" si="5"/>
        <v>"Belette géante": {
  "Name" : "Belette géante",
  "VO" : "Giant Weasel",
  "Family" : "BEAST",
  "Species" : [""],
  "FP" : "1/8", 
  "Size" : "M",
  "AC" : 13,
  "HP" : 9, 
  "Speed" : "",
  "Alignments" : [],
  "Legendary" : ""}</v>
      </c>
    </row>
    <row r="71" spans="1:16">
      <c r="A71" s="299" t="s">
        <v>4228</v>
      </c>
      <c r="B71" s="298" t="s">
        <v>4228</v>
      </c>
      <c r="C71" s="306">
        <v>2</v>
      </c>
      <c r="D71" s="298" t="s">
        <v>4111</v>
      </c>
      <c r="E71" s="297" t="str">
        <f t="shared" si="3"/>
        <v>Aberration</v>
      </c>
      <c r="F71" s="297" t="str">
        <f>VLOOKUP(E71,'Types de monstres'!$A$2:$B$17,2,FALSE)</f>
        <v>ABERRATION</v>
      </c>
      <c r="G71" s="297" t="str">
        <f t="shared" si="4"/>
        <v/>
      </c>
      <c r="H71" s="297" t="str">
        <f>IF(OR(G71="",G71="toute race"),"",VLOOKUP(G71,'Types de monstres'!$F$2:$G$49,2,FALSE))</f>
        <v/>
      </c>
      <c r="I71" s="298" t="s">
        <v>4091</v>
      </c>
      <c r="J71" s="300">
        <v>14</v>
      </c>
      <c r="K71" s="300">
        <v>38</v>
      </c>
      <c r="L71" s="298" t="s">
        <v>4092</v>
      </c>
      <c r="M71" s="298" t="s">
        <v>4118</v>
      </c>
      <c r="N71" s="297" t="str">
        <f>IF(M71="sans alignement","",IF(M71="tout alignement", """1_LB"", ""2_NB"", ""3_CB"", ""4_LN"", ""5_NN"", ""6_CN"", ""7_LM"", ""8_NM"", ""9_CM""",IF(M71="tout alignement non bon", """4_LN"", ""5_NN"", ""6_CN"", ""7_LM"", ""8_NM"", ""9_CM""",IF(M71="tout alignement mauvais", """7_LM"", ""8_NM"", ""9_CM""",IF(M71="tout alignement chaotique", """3_CB"", ""6_CN"", ""9_CM""",IF(M71="tout alignement non loyal", """2_NB"", ""3_CB"", ""5_NN"", ""6_CN"", ""8_NM"", ""9_CM""",""""&amp;VLOOKUP(M71,Alignements!$A$2:$B$10,2, FALSE)&amp;""""))))))</f>
        <v>"8_NM"</v>
      </c>
      <c r="O71" s="298"/>
      <c r="P71" t="str">
        <f t="shared" si="5"/>
        <v>"Berbalang": {
  "Name" : "Berbalang",
  "VO" : "Berbalang",
  "Family" : "ABERRATION",
  "Species" : [""],
  "FP" : "2", 
  "Size" : "M",
  "AC" : 14,
  "HP" : 38, 
  "Speed" : "vol",
  "Alignments" : ["8_NM"],
  "Legendary" : ""}</v>
      </c>
    </row>
    <row r="72" spans="1:16" ht="21">
      <c r="A72" s="61" t="s">
        <v>4229</v>
      </c>
      <c r="B72" s="297" t="s">
        <v>4229</v>
      </c>
      <c r="C72" s="305">
        <v>2</v>
      </c>
      <c r="D72" s="297" t="s">
        <v>4108</v>
      </c>
      <c r="E72" s="297" t="str">
        <f t="shared" si="3"/>
        <v>Humanoïde</v>
      </c>
      <c r="F72" s="297" t="str">
        <f>VLOOKUP(E72,'Types de monstres'!$A$2:$B$17,2,FALSE)</f>
        <v>HUMANOID</v>
      </c>
      <c r="G72" s="297" t="str">
        <f>IF(ISERROR( FIND("(",D72) ),"",RIGHT(LEFT(D72,LEN(D72)-1), LEN(D72)-FIND("(",D72)-1))</f>
        <v>toute race</v>
      </c>
      <c r="H72" s="297" t="str">
        <f>IF(OR(G72="",G72="toute race"),"",VLOOKUP(G72,'Types de monstres'!$F$2:$G$49,2,FALSE))</f>
        <v/>
      </c>
      <c r="I72" s="297" t="s">
        <v>4091</v>
      </c>
      <c r="J72" s="302">
        <v>13</v>
      </c>
      <c r="K72" s="302">
        <v>67</v>
      </c>
      <c r="L72" s="297"/>
      <c r="M72" s="297" t="s">
        <v>4230</v>
      </c>
      <c r="N72" s="297" t="str">
        <f>IF(M72="sans alignement","",IF(M72="tout alignement", """1_LB"", ""2_NB"", ""3_CB"", ""4_LN"", ""5_NN"", ""6_CN"", ""7_LM"", ""8_NM"", ""9_CM""",IF(M72="tout alignement non bon", """4_LN"", ""5_NN"", ""6_CN"", ""7_LM"", ""8_NM"", ""9_CM""",IF(M72="tout alignement mauvais", """7_LM"", ""8_NM"", ""9_CM""",IF(M72="tout alignement chaotique", """3_CB"", ""6_CN"", ""9_CM""",IF(M72="tout alignement non loyal", """2_NB"", ""3_CB"", ""5_NN"", ""6_CN"", ""8_NM"", ""9_CM""",""""&amp;VLOOKUP(M72,Alignements!$A$2:$B$10,2, FALSE)&amp;""""))))))</f>
        <v>"3_CB", "6_CN", "9_CM"</v>
      </c>
      <c r="O72" s="297"/>
      <c r="P72" t="str">
        <f t="shared" si="5"/>
        <v>"Berserker": {
  "Name" : "Berserker",
  "VO" : "Berserker",
  "Family" : "HUMANOID",
  "Species" : [""],
  "FP" : "2", 
  "Size" : "M",
  "AC" : 13,
  "HP" : 67, 
  "Speed" : "",
  "Alignments" : ["3_CB", "6_CN", "9_CM"],
  "Legendary" : ""}</v>
      </c>
    </row>
    <row r="73" spans="1:16">
      <c r="A73" s="299" t="s">
        <v>4231</v>
      </c>
      <c r="B73" s="298" t="s">
        <v>4232</v>
      </c>
      <c r="C73" s="306">
        <v>1</v>
      </c>
      <c r="D73" s="298" t="s">
        <v>4128</v>
      </c>
      <c r="E73" s="297" t="str">
        <f t="shared" si="3"/>
        <v>Bête</v>
      </c>
      <c r="F73" s="297" t="str">
        <f>VLOOKUP(E73,'Types de monstres'!$A$2:$B$17,2,FALSE)</f>
        <v>BEAST</v>
      </c>
      <c r="G73" s="297" t="str">
        <f t="shared" si="4"/>
        <v/>
      </c>
      <c r="H73" s="297" t="str">
        <f>IF(OR(G73="",G73="toute race"),"",VLOOKUP(G73,'Types de monstres'!$F$2:$G$49,2,FALSE))</f>
        <v/>
      </c>
      <c r="I73" s="298" t="s">
        <v>4112</v>
      </c>
      <c r="J73" s="300">
        <v>13</v>
      </c>
      <c r="K73" s="300">
        <v>30</v>
      </c>
      <c r="L73" s="298"/>
      <c r="M73" s="298" t="s">
        <v>4130</v>
      </c>
      <c r="N73" s="297" t="str">
        <f>IF(M73="sans alignement","",IF(M73="tout alignement", """1_LB"", ""2_NB"", ""3_CB"", ""4_LN"", ""5_NN"", ""6_CN"", ""7_LM"", ""8_NM"", ""9_CM""",IF(M73="tout alignement non bon", """4_LN"", ""5_NN"", ""6_CN"", ""7_LM"", ""8_NM"", ""9_CM""",IF(M73="tout alignement mauvais", """7_LM"", ""8_NM"", ""9_CM""",IF(M73="tout alignement chaotique", """3_CB"", ""6_CN"", ""9_CM""",IF(M73="tout alignement non loyal", """2_NB"", ""3_CB"", ""5_NN"", ""6_CN"", ""8_NM"", ""9_CM""",""""&amp;VLOOKUP(M73,Alignements!$A$2:$B$10,2, FALSE)&amp;""""))))))</f>
        <v/>
      </c>
      <c r="O73" s="298"/>
      <c r="P73" t="str">
        <f t="shared" si="5"/>
        <v>"Bête des marais": {
  "Name" : "Bête des marais",
  "VO" : "Moorbounder",
  "Family" : "BEAST",
  "Species" : [""],
  "FP" : "1", 
  "Size" : "G",
  "AC" : 13,
  "HP" : 30, 
  "Speed" : "",
  "Alignments" : [],
  "Legendary" : ""}</v>
      </c>
    </row>
    <row r="74" spans="1:16" ht="21">
      <c r="A74" s="301" t="s">
        <v>4233</v>
      </c>
      <c r="B74" s="297" t="s">
        <v>4234</v>
      </c>
      <c r="C74" s="305">
        <v>3</v>
      </c>
      <c r="D74" s="297" t="s">
        <v>4128</v>
      </c>
      <c r="E74" s="297" t="str">
        <f t="shared" si="3"/>
        <v>Bête</v>
      </c>
      <c r="F74" s="297" t="str">
        <f>VLOOKUP(E74,'Types de monstres'!$A$2:$B$17,2,FALSE)</f>
        <v>BEAST</v>
      </c>
      <c r="G74" s="297" t="str">
        <f t="shared" si="4"/>
        <v/>
      </c>
      <c r="H74" s="297" t="str">
        <f>IF(OR(G74="",G74="toute race"),"",VLOOKUP(G74,'Types de monstres'!$F$2:$G$49,2,FALSE))</f>
        <v/>
      </c>
      <c r="I74" s="297" t="s">
        <v>4112</v>
      </c>
      <c r="J74" s="302">
        <v>15</v>
      </c>
      <c r="K74" s="302">
        <v>52</v>
      </c>
      <c r="L74" s="297"/>
      <c r="M74" s="297" t="s">
        <v>4130</v>
      </c>
      <c r="N74" s="297" t="str">
        <f>IF(M74="sans alignement","",IF(M74="tout alignement", """1_LB"", ""2_NB"", ""3_CB"", ""4_LN"", ""5_NN"", ""6_CN"", ""7_LM"", ""8_NM"", ""9_CM""",IF(M74="tout alignement non bon", """4_LN"", ""5_NN"", ""6_CN"", ""7_LM"", ""8_NM"", ""9_CM""",IF(M74="tout alignement mauvais", """7_LM"", ""8_NM"", ""9_CM""",IF(M74="tout alignement chaotique", """3_CB"", ""6_CN"", ""9_CM""",IF(M74="tout alignement non loyal", """2_NB"", ""3_CB"", ""5_NN"", ""6_CN"", ""8_NM"", ""9_CM""",""""&amp;VLOOKUP(M74,Alignements!$A$2:$B$10,2, FALSE)&amp;""""))))))</f>
        <v/>
      </c>
      <c r="O74" s="297"/>
      <c r="P74" t="str">
        <f t="shared" si="5"/>
        <v>"Bête des marais hérissée": {
  "Name" : "Bête des marais hérissée",
  "VO" : "Bristled Moorbounder",
  "Family" : "BEAST",
  "Species" : [""],
  "FP" : "3", 
  "Size" : "G",
  "AC" : 15,
  "HP" : 52, 
  "Speed" : "",
  "Alignments" : [],
  "Legendary" : ""}</v>
      </c>
    </row>
    <row r="75" spans="1:16">
      <c r="A75" s="61" t="s">
        <v>4235</v>
      </c>
      <c r="B75" s="298" t="s">
        <v>4236</v>
      </c>
      <c r="C75" s="306">
        <v>3</v>
      </c>
      <c r="D75" s="298" t="s">
        <v>4121</v>
      </c>
      <c r="E75" s="297" t="str">
        <f t="shared" si="3"/>
        <v>Créature monstrueuse</v>
      </c>
      <c r="F75" s="297" t="str">
        <f>VLOOKUP(E75,'Types de monstres'!$A$2:$B$17,2,FALSE)</f>
        <v>MONSTROUS_CREATURE</v>
      </c>
      <c r="G75" s="297" t="str">
        <f t="shared" si="4"/>
        <v/>
      </c>
      <c r="H75" s="297" t="str">
        <f>IF(OR(G75="",G75="toute race"),"",VLOOKUP(G75,'Types de monstres'!$F$2:$G$49,2,FALSE))</f>
        <v/>
      </c>
      <c r="I75" s="298" t="s">
        <v>4112</v>
      </c>
      <c r="J75" s="300">
        <v>13</v>
      </c>
      <c r="K75" s="300">
        <v>85</v>
      </c>
      <c r="L75" s="298"/>
      <c r="M75" s="298" t="s">
        <v>4097</v>
      </c>
      <c r="N75" s="297" t="str">
        <f>IF(M75="sans alignement","",IF(M75="tout alignement", """1_LB"", ""2_NB"", ""3_CB"", ""4_LN"", ""5_NN"", ""6_CN"", ""7_LM"", ""8_NM"", ""9_CM""",IF(M75="tout alignement non bon", """4_LN"", ""5_NN"", ""6_CN"", ""7_LM"", ""8_NM"", ""9_CM""",IF(M75="tout alignement mauvais", """7_LM"", ""8_NM"", ""9_CM""",IF(M75="tout alignement chaotique", """3_CB"", ""6_CN"", ""9_CM""",IF(M75="tout alignement non loyal", """2_NB"", ""3_CB"", ""5_NN"", ""6_CN"", ""8_NM"", ""9_CM""",""""&amp;VLOOKUP(M75,Alignements!$A$2:$B$10,2, FALSE)&amp;""""))))))</f>
        <v>"7_LM"</v>
      </c>
      <c r="O75" s="298"/>
      <c r="P75" t="str">
        <f t="shared" si="5"/>
        <v>"Bête éclipsante": {
  "Name" : "Bête éclipsante",
  "VO" : "Displacer Beast",
  "Family" : "MONSTROUS_CREATURE",
  "Species" : [""],
  "FP" : "3", 
  "Size" : "G",
  "AC" : 13,
  "HP" : 85, 
  "Speed" : "",
  "Alignments" : ["7_LM"],
  "Legendary" : ""}</v>
      </c>
    </row>
    <row r="76" spans="1:16">
      <c r="A76" s="61" t="s">
        <v>4237</v>
      </c>
      <c r="B76" s="297" t="s">
        <v>4238</v>
      </c>
      <c r="C76" s="305">
        <v>0</v>
      </c>
      <c r="D76" s="297" t="s">
        <v>4128</v>
      </c>
      <c r="E76" s="297" t="str">
        <f t="shared" si="3"/>
        <v>Bête</v>
      </c>
      <c r="F76" s="297" t="str">
        <f>VLOOKUP(E76,'Types de monstres'!$A$2:$B$17,2,FALSE)</f>
        <v>BEAST</v>
      </c>
      <c r="G76" s="297" t="str">
        <f t="shared" si="4"/>
        <v/>
      </c>
      <c r="H76" s="297" t="str">
        <f>IF(OR(G76="",G76="toute race"),"",VLOOKUP(G76,'Types de monstres'!$F$2:$G$49,2,FALSE))</f>
        <v/>
      </c>
      <c r="I76" s="297" t="s">
        <v>4154</v>
      </c>
      <c r="J76" s="302">
        <v>10</v>
      </c>
      <c r="K76" s="302">
        <v>3</v>
      </c>
      <c r="L76" s="297"/>
      <c r="M76" s="297" t="s">
        <v>4130</v>
      </c>
      <c r="N76" s="297" t="str">
        <f>IF(M76="sans alignement","",IF(M76="tout alignement", """1_LB"", ""2_NB"", ""3_CB"", ""4_LN"", ""5_NN"", ""6_CN"", ""7_LM"", ""8_NM"", ""9_CM""",IF(M76="tout alignement non bon", """4_LN"", ""5_NN"", ""6_CN"", ""7_LM"", ""8_NM"", ""9_CM""",IF(M76="tout alignement mauvais", """7_LM"", ""8_NM"", ""9_CM""",IF(M76="tout alignement chaotique", """3_CB"", ""6_CN"", ""9_CM""",IF(M76="tout alignement non loyal", """2_NB"", ""3_CB"", ""5_NN"", ""6_CN"", ""8_NM"", ""9_CM""",""""&amp;VLOOKUP(M76,Alignements!$A$2:$B$10,2, FALSE)&amp;""""))))))</f>
        <v/>
      </c>
      <c r="O76" s="297"/>
      <c r="P76" t="str">
        <f t="shared" si="5"/>
        <v>"Blaireau": {
  "Name" : "Blaireau",
  "VO" : "Badger",
  "Family" : "BEAST",
  "Species" : [""],
  "FP" : "0", 
  "Size" : "TP",
  "AC" : 10,
  "HP" : 3, 
  "Speed" : "",
  "Alignments" : [],
  "Legendary" : ""}</v>
      </c>
    </row>
    <row r="77" spans="1:16">
      <c r="A77" s="61" t="s">
        <v>4239</v>
      </c>
      <c r="B77" s="298" t="s">
        <v>4240</v>
      </c>
      <c r="C77" s="306" t="s">
        <v>5618</v>
      </c>
      <c r="D77" s="298" t="s">
        <v>4128</v>
      </c>
      <c r="E77" s="297" t="str">
        <f t="shared" si="3"/>
        <v>Bête</v>
      </c>
      <c r="F77" s="297" t="str">
        <f>VLOOKUP(E77,'Types de monstres'!$A$2:$B$17,2,FALSE)</f>
        <v>BEAST</v>
      </c>
      <c r="G77" s="297" t="str">
        <f t="shared" si="4"/>
        <v/>
      </c>
      <c r="H77" s="297" t="str">
        <f>IF(OR(G77="",G77="toute race"),"",VLOOKUP(G77,'Types de monstres'!$F$2:$G$49,2,FALSE))</f>
        <v/>
      </c>
      <c r="I77" s="298" t="s">
        <v>4091</v>
      </c>
      <c r="J77" s="300">
        <v>10</v>
      </c>
      <c r="K77" s="300">
        <v>13</v>
      </c>
      <c r="L77" s="298"/>
      <c r="M77" s="298" t="s">
        <v>4130</v>
      </c>
      <c r="N77" s="297" t="str">
        <f>IF(M77="sans alignement","",IF(M77="tout alignement", """1_LB"", ""2_NB"", ""3_CB"", ""4_LN"", ""5_NN"", ""6_CN"", ""7_LM"", ""8_NM"", ""9_CM""",IF(M77="tout alignement non bon", """4_LN"", ""5_NN"", ""6_CN"", ""7_LM"", ""8_NM"", ""9_CM""",IF(M77="tout alignement mauvais", """7_LM"", ""8_NM"", ""9_CM""",IF(M77="tout alignement chaotique", """3_CB"", ""6_CN"", ""9_CM""",IF(M77="tout alignement non loyal", """2_NB"", ""3_CB"", ""5_NN"", ""6_CN"", ""8_NM"", ""9_CM""",""""&amp;VLOOKUP(M77,Alignements!$A$2:$B$10,2, FALSE)&amp;""""))))))</f>
        <v/>
      </c>
      <c r="O77" s="298"/>
      <c r="P77" t="str">
        <f t="shared" si="5"/>
        <v>"Blaireau géant": {
  "Name" : "Blaireau géant",
  "VO" : "Giant Badger",
  "Family" : "BEAST",
  "Species" : [""],
  "FP" : "1/4", 
  "Size" : "M",
  "AC" : 10,
  "HP" : 13, 
  "Speed" : "",
  "Alignments" : [],
  "Legendary" : ""}</v>
      </c>
    </row>
    <row r="78" spans="1:16">
      <c r="A78" s="61" t="s">
        <v>4241</v>
      </c>
      <c r="B78" s="297" t="s">
        <v>4241</v>
      </c>
      <c r="C78" s="305">
        <v>2</v>
      </c>
      <c r="D78" s="297" t="s">
        <v>4242</v>
      </c>
      <c r="E78" s="297" t="str">
        <f t="shared" si="3"/>
        <v>Humanoïde</v>
      </c>
      <c r="F78" s="297" t="str">
        <f>VLOOKUP(E78,'Types de monstres'!$A$2:$B$17,2,FALSE)</f>
        <v>HUMANOID</v>
      </c>
      <c r="G78" s="297" t="str">
        <f t="shared" si="4"/>
        <v>humain</v>
      </c>
      <c r="H78" s="297" t="str">
        <f>IF(OR(G78="",G78="toute race"),"",VLOOKUP(G78,'Types de monstres'!$F$2:$G$49,2,FALSE))</f>
        <v>HUMAN</v>
      </c>
      <c r="I78" s="297" t="s">
        <v>4091</v>
      </c>
      <c r="J78" s="302">
        <v>13</v>
      </c>
      <c r="K78" s="302">
        <v>75</v>
      </c>
      <c r="L78" s="297"/>
      <c r="M78" s="297" t="s">
        <v>4243</v>
      </c>
      <c r="N78" s="297" t="str">
        <f>IF(M78="sans alignement","",IF(M78="tout alignement", """1_LB"", ""2_NB"", ""3_CB"", ""4_LN"", ""5_NN"", ""6_CN"", ""7_LM"", ""8_NM"", ""9_CM""",IF(M78="tout alignement non bon", """4_LN"", ""5_NN"", ""6_CN"", ""7_LM"", ""8_NM"", ""9_CM""",IF(M78="tout alignement mauvais", """7_LM"", ""8_NM"", ""9_CM""",IF(M78="tout alignement chaotique", """3_CB"", ""6_CN"", ""9_CM""",IF(M78="tout alignement non loyal", """2_NB"", ""3_CB"", ""5_NN"", ""6_CN"", ""8_NM"", ""9_CM""",""""&amp;VLOOKUP(M78,Alignements!$A$2:$B$10,2, FALSE)&amp;""""))))))</f>
        <v>"6_CN"</v>
      </c>
      <c r="O78" s="297"/>
      <c r="P78" t="str">
        <f t="shared" si="5"/>
        <v>"Blarks": {
  "Name" : "Blarks",
  "VO" : "Blarks",
  "Family" : "HUMANOID",
  "Species" : ["HUMAN"],
  "FP" : "2", 
  "Size" : "M",
  "AC" : 13,
  "HP" : 75, 
  "Speed" : "",
  "Alignments" : ["6_CN"],
  "Legendary" : ""}</v>
      </c>
    </row>
    <row r="79" spans="1:16">
      <c r="A79" s="61" t="s">
        <v>4244</v>
      </c>
      <c r="B79" s="298" t="s">
        <v>4245</v>
      </c>
      <c r="C79" s="306">
        <v>2</v>
      </c>
      <c r="D79" s="298" t="s">
        <v>4117</v>
      </c>
      <c r="E79" s="297" t="str">
        <f t="shared" si="3"/>
        <v>Mort-vivant</v>
      </c>
      <c r="F79" s="297" t="str">
        <f>VLOOKUP(E79,'Types de monstres'!$A$2:$B$17,2,FALSE)</f>
        <v>UNDEAD</v>
      </c>
      <c r="G79" s="297" t="str">
        <f t="shared" si="4"/>
        <v/>
      </c>
      <c r="H79" s="297" t="str">
        <f>IF(OR(G79="",G79="toute race"),"",VLOOKUP(G79,'Types de monstres'!$F$2:$G$49,2,FALSE))</f>
        <v/>
      </c>
      <c r="I79" s="298" t="s">
        <v>4091</v>
      </c>
      <c r="J79" s="300">
        <v>13</v>
      </c>
      <c r="K79" s="300">
        <v>36</v>
      </c>
      <c r="L79" s="298"/>
      <c r="M79" s="298" t="s">
        <v>4137</v>
      </c>
      <c r="N79" s="297" t="str">
        <f>IF(M79="sans alignement","",IF(M79="tout alignement", """1_LB"", ""2_NB"", ""3_CB"", ""4_LN"", ""5_NN"", ""6_CN"", ""7_LM"", ""8_NM"", ""9_CM""",IF(M79="tout alignement non bon", """4_LN"", ""5_NN"", ""6_CN"", ""7_LM"", ""8_NM"", ""9_CM""",IF(M79="tout alignement mauvais", """7_LM"", ""8_NM"", ""9_CM""",IF(M79="tout alignement chaotique", """3_CB"", ""6_CN"", ""9_CM""",IF(M79="tout alignement non loyal", """2_NB"", ""3_CB"", ""5_NN"", ""6_CN"", ""8_NM"", ""9_CM""",""""&amp;VLOOKUP(M79,Alignements!$A$2:$B$10,2, FALSE)&amp;""""))))))</f>
        <v>"9_CM"</v>
      </c>
      <c r="O79" s="298"/>
      <c r="P79" t="str">
        <f t="shared" si="5"/>
        <v>"Blême": {
  "Name" : "Blême",
  "VO" : "Ghast",
  "Family" : "UNDEAD",
  "Species" : [""],
  "FP" : "2", 
  "Size" : "M",
  "AC" : 13,
  "HP" : 36, 
  "Speed" : "",
  "Alignments" : ["9_CM"],
  "Legendary" : ""}</v>
      </c>
    </row>
    <row r="80" spans="1:16">
      <c r="A80" s="301" t="s">
        <v>4246</v>
      </c>
      <c r="B80" s="297" t="s">
        <v>4247</v>
      </c>
      <c r="C80" s="305">
        <v>5</v>
      </c>
      <c r="D80" s="297" t="s">
        <v>4117</v>
      </c>
      <c r="E80" s="297" t="str">
        <f t="shared" si="3"/>
        <v>Mort-vivant</v>
      </c>
      <c r="F80" s="297" t="str">
        <f>VLOOKUP(E80,'Types de monstres'!$A$2:$B$17,2,FALSE)</f>
        <v>UNDEAD</v>
      </c>
      <c r="G80" s="297" t="str">
        <f t="shared" si="4"/>
        <v/>
      </c>
      <c r="H80" s="297" t="str">
        <f>IF(OR(G80="",G80="toute race"),"",VLOOKUP(G80,'Types de monstres'!$F$2:$G$49,2,FALSE))</f>
        <v/>
      </c>
      <c r="I80" s="297" t="s">
        <v>4091</v>
      </c>
      <c r="J80" s="302">
        <v>15</v>
      </c>
      <c r="K80" s="302">
        <v>49</v>
      </c>
      <c r="L80" s="297"/>
      <c r="M80" s="297" t="s">
        <v>4137</v>
      </c>
      <c r="N80" s="297" t="str">
        <f>IF(M80="sans alignement","",IF(M80="tout alignement", """1_LB"", ""2_NB"", ""3_CB"", ""4_LN"", ""5_NN"", ""6_CN"", ""7_LM"", ""8_NM"", ""9_CM""",IF(M80="tout alignement non bon", """4_LN"", ""5_NN"", ""6_CN"", ""7_LM"", ""8_NM"", ""9_CM""",IF(M80="tout alignement mauvais", """7_LM"", ""8_NM"", ""9_CM""",IF(M80="tout alignement chaotique", """3_CB"", ""6_CN"", ""9_CM""",IF(M80="tout alignement non loyal", """2_NB"", ""3_CB"", ""5_NN"", ""6_CN"", ""8_NM"", ""9_CM""",""""&amp;VLOOKUP(M80,Alignements!$A$2:$B$10,2, FALSE)&amp;""""))))))</f>
        <v>"9_CM"</v>
      </c>
      <c r="O80" s="297"/>
      <c r="P80" t="str">
        <f t="shared" si="5"/>
        <v>"Blême de l'ombre": {
  "Name" : "Blême de l'ombre",
  "VO" : "Shadowghast",
  "Family" : "UNDEAD",
  "Species" : [""],
  "FP" : "5", 
  "Size" : "M",
  "AC" : 15,
  "HP" : 49, 
  "Speed" : "",
  "Alignments" : ["9_CM"],
  "Legendary" : ""}</v>
      </c>
    </row>
    <row r="81" spans="1:16">
      <c r="A81" s="299" t="s">
        <v>4248</v>
      </c>
      <c r="B81" s="298" t="s">
        <v>4248</v>
      </c>
      <c r="C81" s="306">
        <v>6</v>
      </c>
      <c r="D81" s="298" t="s">
        <v>4117</v>
      </c>
      <c r="E81" s="297" t="str">
        <f t="shared" si="3"/>
        <v>Mort-vivant</v>
      </c>
      <c r="F81" s="297" t="str">
        <f>VLOOKUP(E81,'Types de monstres'!$A$2:$B$17,2,FALSE)</f>
        <v>UNDEAD</v>
      </c>
      <c r="G81" s="297" t="str">
        <f t="shared" si="4"/>
        <v/>
      </c>
      <c r="H81" s="297" t="str">
        <f>IF(OR(G81="",G81="toute race"),"",VLOOKUP(G81,'Types de monstres'!$F$2:$G$49,2,FALSE))</f>
        <v/>
      </c>
      <c r="I81" s="298" t="s">
        <v>4091</v>
      </c>
      <c r="J81" s="300">
        <v>15</v>
      </c>
      <c r="K81" s="300">
        <v>58</v>
      </c>
      <c r="L81" s="298"/>
      <c r="M81" s="298" t="s">
        <v>4137</v>
      </c>
      <c r="N81" s="297" t="str">
        <f>IF(M81="sans alignement","",IF(M81="tout alignement", """1_LB"", ""2_NB"", ""3_CB"", ""4_LN"", ""5_NN"", ""6_CN"", ""7_LM"", ""8_NM"", ""9_CM""",IF(M81="tout alignement non bon", """4_LN"", ""5_NN"", ""6_CN"", ""7_LM"", ""8_NM"", ""9_CM""",IF(M81="tout alignement mauvais", """7_LM"", ""8_NM"", ""9_CM""",IF(M81="tout alignement chaotique", """3_CB"", ""6_CN"", ""9_CM""",IF(M81="tout alignement non loyal", """2_NB"", ""3_CB"", ""5_NN"", ""6_CN"", ""8_NM"", ""9_CM""",""""&amp;VLOOKUP(M81,Alignements!$A$2:$B$10,2, FALSE)&amp;""""))))))</f>
        <v>"9_CM"</v>
      </c>
      <c r="O81" s="298"/>
      <c r="P81" t="str">
        <f t="shared" si="5"/>
        <v>"Bodak": {
  "Name" : "Bodak",
  "VO" : "Bodak",
  "Family" : "UNDEAD",
  "Species" : [""],
  "FP" : "6", 
  "Size" : "M",
  "AC" : 15,
  "HP" : 58, 
  "Speed" : "",
  "Alignments" : ["9_CM"],
  "Legendary" : ""}</v>
      </c>
    </row>
    <row r="82" spans="1:16">
      <c r="A82" s="61" t="s">
        <v>4249</v>
      </c>
      <c r="B82" s="297" t="s">
        <v>4250</v>
      </c>
      <c r="C82" s="305">
        <v>5</v>
      </c>
      <c r="D82" s="297" t="s">
        <v>4167</v>
      </c>
      <c r="E82" s="297" t="str">
        <f t="shared" si="3"/>
        <v>Plante</v>
      </c>
      <c r="F82" s="297" t="str">
        <f>VLOOKUP(E82,'Types de monstres'!$A$2:$B$17,2,FALSE)</f>
        <v>PLANT</v>
      </c>
      <c r="G82" s="297" t="str">
        <f t="shared" si="4"/>
        <v/>
      </c>
      <c r="H82" s="297" t="str">
        <f>IF(OR(G82="",G82="toute race"),"",VLOOKUP(G82,'Types de monstres'!$F$2:$G$49,2,FALSE))</f>
        <v/>
      </c>
      <c r="I82" s="297" t="s">
        <v>4091</v>
      </c>
      <c r="J82" s="302">
        <v>18</v>
      </c>
      <c r="K82" s="302">
        <v>75</v>
      </c>
      <c r="L82" s="297"/>
      <c r="M82" s="297" t="s">
        <v>4145</v>
      </c>
      <c r="N82" s="297" t="str">
        <f>IF(M82="sans alignement","",IF(M82="tout alignement", """1_LB"", ""2_NB"", ""3_CB"", ""4_LN"", ""5_NN"", ""6_CN"", ""7_LM"", ""8_NM"", ""9_CM""",IF(M82="tout alignement non bon", """4_LN"", ""5_NN"", ""6_CN"", ""7_LM"", ""8_NM"", ""9_CM""",IF(M82="tout alignement mauvais", """7_LM"", ""8_NM"", ""9_CM""",IF(M82="tout alignement chaotique", """3_CB"", ""6_CN"", ""9_CM""",IF(M82="tout alignement non loyal", """2_NB"", ""3_CB"", ""5_NN"", ""6_CN"", ""8_NM"", ""9_CM""",""""&amp;VLOOKUP(M82,Alignements!$A$2:$B$10,2, FALSE)&amp;""""))))))</f>
        <v>"4_LN"</v>
      </c>
      <c r="O82" s="297"/>
      <c r="P82" t="str">
        <f t="shared" si="5"/>
        <v>"Boiseux": {
  "Name" : "Boiseux",
  "VO" : "Wood Woad",
  "Family" : "PLANT",
  "Species" : [""],
  "FP" : "5", 
  "Size" : "M",
  "AC" : 18,
  "HP" : 75, 
  "Speed" : "",
  "Alignments" : ["4_LN"],
  "Legendary" : ""}</v>
      </c>
    </row>
    <row r="83" spans="1:16">
      <c r="A83" s="299" t="s">
        <v>4251</v>
      </c>
      <c r="B83" s="298" t="s">
        <v>4252</v>
      </c>
      <c r="C83" s="306">
        <v>3</v>
      </c>
      <c r="D83" s="298" t="s">
        <v>4253</v>
      </c>
      <c r="E83" s="297" t="str">
        <f t="shared" si="3"/>
        <v>Fée</v>
      </c>
      <c r="F83" s="297" t="str">
        <f>VLOOKUP(E83,'Types de monstres'!$A$2:$B$17,2,FALSE)</f>
        <v>FAIRY</v>
      </c>
      <c r="G83" s="297" t="str">
        <f t="shared" si="4"/>
        <v/>
      </c>
      <c r="H83" s="297" t="str">
        <f>IF(OR(G83="",G83="toute race"),"",VLOOKUP(G83,'Types de monstres'!$F$2:$G$49,2,FALSE))</f>
        <v/>
      </c>
      <c r="I83" s="298" t="s">
        <v>4129</v>
      </c>
      <c r="J83" s="300">
        <v>13</v>
      </c>
      <c r="K83" s="300">
        <v>45</v>
      </c>
      <c r="L83" s="298"/>
      <c r="M83" s="298" t="s">
        <v>4137</v>
      </c>
      <c r="N83" s="297" t="str">
        <f>IF(M83="sans alignement","",IF(M83="tout alignement", """1_LB"", ""2_NB"", ""3_CB"", ""4_LN"", ""5_NN"", ""6_CN"", ""7_LM"", ""8_NM"", ""9_CM""",IF(M83="tout alignement non bon", """4_LN"", ""5_NN"", ""6_CN"", ""7_LM"", ""8_NM"", ""9_CM""",IF(M83="tout alignement mauvais", """7_LM"", ""8_NM"", ""9_CM""",IF(M83="tout alignement chaotique", """3_CB"", ""6_CN"", ""9_CM""",IF(M83="tout alignement non loyal", """2_NB"", ""3_CB"", ""5_NN"", ""6_CN"", ""8_NM"", ""9_CM""",""""&amp;VLOOKUP(M83,Alignements!$A$2:$B$10,2, FALSE)&amp;""""))))))</f>
        <v>"9_CM"</v>
      </c>
      <c r="O83" s="298"/>
      <c r="P83" t="str">
        <f t="shared" si="5"/>
        <v>"Bonnet-rouge": {
  "Name" : "Bonnet-rouge",
  "VO" : "Redcap",
  "Family" : "FAIRY",
  "Species" : [""],
  "FP" : "3", 
  "Size" : "P",
  "AC" : 13,
  "HP" : 45, 
  "Speed" : "",
  "Alignments" : ["9_CM"],
  "Legendary" : ""}</v>
      </c>
    </row>
    <row r="84" spans="1:16" ht="21">
      <c r="A84" s="61" t="s">
        <v>4254</v>
      </c>
      <c r="B84" s="297" t="s">
        <v>4255</v>
      </c>
      <c r="C84" s="305">
        <v>3</v>
      </c>
      <c r="D84" s="297" t="s">
        <v>4108</v>
      </c>
      <c r="E84" s="297" t="str">
        <f t="shared" si="3"/>
        <v>Humanoïde</v>
      </c>
      <c r="F84" s="297" t="str">
        <f>VLOOKUP(E84,'Types de monstres'!$A$2:$B$17,2,FALSE)</f>
        <v>HUMANOID</v>
      </c>
      <c r="G84" s="297" t="str">
        <f t="shared" si="4"/>
        <v>toute race</v>
      </c>
      <c r="H84" s="297" t="str">
        <f>IF(OR(G84="",G84="toute race"),"",VLOOKUP(G84,'Types de monstres'!$F$2:$G$49,2,FALSE))</f>
        <v/>
      </c>
      <c r="I84" s="297" t="s">
        <v>4091</v>
      </c>
      <c r="J84" s="302">
        <v>17</v>
      </c>
      <c r="K84" s="302">
        <v>66</v>
      </c>
      <c r="L84" s="297"/>
      <c r="M84" s="297" t="s">
        <v>4205</v>
      </c>
      <c r="N84" s="297" t="str">
        <f>IF(M84="sans alignement","",IF(M84="tout alignement", """1_LB"", ""2_NB"", ""3_CB"", ""4_LN"", ""5_NN"", ""6_CN"", ""7_LM"", ""8_NM"", ""9_CM""",IF(M84="tout alignement non bon", """4_LN"", ""5_NN"", ""6_CN"", ""7_LM"", ""8_NM"", ""9_CM""",IF(M84="tout alignement mauvais", """7_LM"", ""8_NM"", ""9_CM""",IF(M84="tout alignement chaotique", """3_CB"", ""6_CN"", ""9_CM""",IF(M84="tout alignement non loyal", """2_NB"", ""3_CB"", ""5_NN"", ""6_CN"", ""8_NM"", ""9_CM""",""""&amp;VLOOKUP(M84,Alignements!$A$2:$B$10,2, FALSE)&amp;""""))))))</f>
        <v>"2_NB", "3_CB", "5_NN", "6_CN", "8_NM", "9_CM"</v>
      </c>
      <c r="O84" s="297"/>
      <c r="P84" t="str">
        <f t="shared" si="5"/>
        <v>"Bretteur": {
  "Name" : "Bretteur",
  "VO" : "Swashbuckler",
  "Family" : "HUMANOID",
  "Species" : [""],
  "FP" : "3", 
  "Size" : "M",
  "AC" : 17,
  "HP" : 66, 
  "Speed" : "",
  "Alignments" : ["2_NB", "3_CB", "5_NN", "6_CN", "8_NM", "9_CM"],
  "Legendary" : ""}</v>
      </c>
    </row>
    <row r="85" spans="1:16">
      <c r="A85" s="299" t="s">
        <v>4256</v>
      </c>
      <c r="B85" s="298" t="s">
        <v>4257</v>
      </c>
      <c r="C85" s="306">
        <v>3</v>
      </c>
      <c r="D85" s="298" t="s">
        <v>4117</v>
      </c>
      <c r="E85" s="297" t="str">
        <f t="shared" si="3"/>
        <v>Mort-vivant</v>
      </c>
      <c r="F85" s="297" t="str">
        <f>VLOOKUP(E85,'Types de monstres'!$A$2:$B$17,2,FALSE)</f>
        <v>UNDEAD</v>
      </c>
      <c r="G85" s="297" t="str">
        <f t="shared" si="4"/>
        <v/>
      </c>
      <c r="H85" s="297" t="str">
        <f>IF(OR(G85="",G85="toute race"),"",VLOOKUP(G85,'Types de monstres'!$F$2:$G$49,2,FALSE))</f>
        <v/>
      </c>
      <c r="I85" s="298" t="s">
        <v>4091</v>
      </c>
      <c r="J85" s="300">
        <v>13</v>
      </c>
      <c r="K85" s="300">
        <v>30</v>
      </c>
      <c r="L85" s="298" t="s">
        <v>4092</v>
      </c>
      <c r="M85" s="298" t="s">
        <v>4137</v>
      </c>
      <c r="N85" s="297" t="str">
        <f>IF(M85="sans alignement","",IF(M85="tout alignement", """1_LB"", ""2_NB"", ""3_CB"", ""4_LN"", ""5_NN"", ""6_CN"", ""7_LM"", ""8_NM"", ""9_CM""",IF(M85="tout alignement non bon", """4_LN"", ""5_NN"", ""6_CN"", ""7_LM"", ""8_NM"", ""9_CM""",IF(M85="tout alignement mauvais", """7_LM"", ""8_NM"", ""9_CM""",IF(M85="tout alignement chaotique", """3_CB"", ""6_CN"", ""9_CM""",IF(M85="tout alignement non loyal", """2_NB"", ""3_CB"", ""5_NN"", ""6_CN"", ""8_NM"", ""9_CM""",""""&amp;VLOOKUP(M85,Alignements!$A$2:$B$10,2, FALSE)&amp;""""))))))</f>
        <v>"9_CM"</v>
      </c>
      <c r="O85" s="298"/>
      <c r="P85" t="str">
        <f t="shared" si="5"/>
        <v>"Brume vampirique": {
  "Name" : "Brume vampirique",
  "VO" : "Vampiric Mist",
  "Family" : "UNDEAD",
  "Species" : [""],
  "FP" : "3", 
  "Size" : "M",
  "AC" : 13,
  "HP" : 30, 
  "Speed" : "vol",
  "Alignments" : ["9_CM"],
  "Legendary" : ""}</v>
      </c>
    </row>
    <row r="86" spans="1:16">
      <c r="A86" s="61" t="s">
        <v>4258</v>
      </c>
      <c r="B86" s="297" t="s">
        <v>4259</v>
      </c>
      <c r="C86" s="305" t="s">
        <v>5618</v>
      </c>
      <c r="D86" s="297" t="s">
        <v>4260</v>
      </c>
      <c r="E86" s="297" t="str">
        <f t="shared" si="3"/>
        <v>Humanoïde</v>
      </c>
      <c r="F86" s="297" t="str">
        <f>VLOOKUP(E86,'Types de monstres'!$A$2:$B$17,2,FALSE)</f>
        <v>HUMANOID</v>
      </c>
      <c r="G86" s="297" t="str">
        <f t="shared" si="4"/>
        <v>brutacien</v>
      </c>
      <c r="H86" s="297" t="str">
        <f>IF(OR(G86="",G86="toute race"),"",VLOOKUP(G86,'Types de monstres'!$F$2:$G$49,2,FALSE))</f>
        <v>BRUTAL</v>
      </c>
      <c r="I86" s="297" t="s">
        <v>4091</v>
      </c>
      <c r="J86" s="302">
        <v>15</v>
      </c>
      <c r="K86" s="302">
        <v>11</v>
      </c>
      <c r="L86" s="297" t="s">
        <v>4113</v>
      </c>
      <c r="M86" s="297" t="s">
        <v>4118</v>
      </c>
      <c r="N86" s="297" t="str">
        <f>IF(M86="sans alignement","",IF(M86="tout alignement", """1_LB"", ""2_NB"", ""3_CB"", ""4_LN"", ""5_NN"", ""6_CN"", ""7_LM"", ""8_NM"", ""9_CM""",IF(M86="tout alignement non bon", """4_LN"", ""5_NN"", ""6_CN"", ""7_LM"", ""8_NM"", ""9_CM""",IF(M86="tout alignement mauvais", """7_LM"", ""8_NM"", ""9_CM""",IF(M86="tout alignement chaotique", """3_CB"", ""6_CN"", ""9_CM""",IF(M86="tout alignement non loyal", """2_NB"", ""3_CB"", ""5_NN"", ""6_CN"", ""8_NM"", ""9_CM""",""""&amp;VLOOKUP(M86,Alignements!$A$2:$B$10,2, FALSE)&amp;""""))))))</f>
        <v>"8_NM"</v>
      </c>
      <c r="O86" s="297"/>
      <c r="P86" t="str">
        <f t="shared" si="5"/>
        <v>"Brutacien": {
  "Name" : "Brutacien",
  "VO" : "Bullywug",
  "Family" : "HUMANOID",
  "Species" : ["BRUTAL"],
  "FP" : "1/4", 
  "Size" : "M",
  "AC" : 15,
  "HP" : 11, 
  "Speed" : "nage",
  "Alignments" : ["8_NM"],
  "Legendary" : ""}</v>
      </c>
    </row>
    <row r="87" spans="1:16">
      <c r="A87" s="61" t="s">
        <v>4261</v>
      </c>
      <c r="B87" s="298" t="s">
        <v>4262</v>
      </c>
      <c r="C87" s="306" t="s">
        <v>5619</v>
      </c>
      <c r="D87" s="298" t="s">
        <v>4167</v>
      </c>
      <c r="E87" s="297" t="str">
        <f t="shared" si="3"/>
        <v>Plante</v>
      </c>
      <c r="F87" s="297" t="str">
        <f>VLOOKUP(E87,'Types de monstres'!$A$2:$B$17,2,FALSE)</f>
        <v>PLANT</v>
      </c>
      <c r="G87" s="297" t="str">
        <f t="shared" si="4"/>
        <v/>
      </c>
      <c r="H87" s="297" t="str">
        <f>IF(OR(G87="",G87="toute race"),"",VLOOKUP(G87,'Types de monstres'!$F$2:$G$49,2,FALSE))</f>
        <v/>
      </c>
      <c r="I87" s="298" t="s">
        <v>4129</v>
      </c>
      <c r="J87" s="300">
        <v>13</v>
      </c>
      <c r="K87" s="300">
        <v>4</v>
      </c>
      <c r="L87" s="298"/>
      <c r="M87" s="298" t="s">
        <v>4118</v>
      </c>
      <c r="N87" s="297" t="str">
        <f>IF(M87="sans alignement","",IF(M87="tout alignement", """1_LB"", ""2_NB"", ""3_CB"", ""4_LN"", ""5_NN"", ""6_CN"", ""7_LM"", ""8_NM"", ""9_CM""",IF(M87="tout alignement non bon", """4_LN"", ""5_NN"", ""6_CN"", ""7_LM"", ""8_NM"", ""9_CM""",IF(M87="tout alignement mauvais", """7_LM"", ""8_NM"", ""9_CM""",IF(M87="tout alignement chaotique", """3_CB"", ""6_CN"", ""9_CM""",IF(M87="tout alignement non loyal", """2_NB"", ""3_CB"", ""5_NN"", ""6_CN"", ""8_NM"", ""9_CM""",""""&amp;VLOOKUP(M87,Alignements!$A$2:$B$10,2, FALSE)&amp;""""))))))</f>
        <v>"8_NM"</v>
      </c>
      <c r="O87" s="298"/>
      <c r="P87" t="str">
        <f t="shared" si="5"/>
        <v>"Buisson infecté": {
  "Name" : "Buisson infecté",
  "VO" : "Twig Blight",
  "Family" : "PLANT",
  "Species" : [""],
  "FP" : "1/8", 
  "Size" : "P",
  "AC" : 13,
  "HP" : 4, 
  "Speed" : "",
  "Alignments" : ["8_NM"],
  "Legendary" : ""}</v>
      </c>
    </row>
    <row r="88" spans="1:16">
      <c r="A88" s="61" t="s">
        <v>4263</v>
      </c>
      <c r="B88" s="297" t="s">
        <v>4263</v>
      </c>
      <c r="C88" s="305">
        <v>5</v>
      </c>
      <c r="D88" s="297" t="s">
        <v>4121</v>
      </c>
      <c r="E88" s="297" t="str">
        <f t="shared" si="3"/>
        <v>Créature monstrueuse</v>
      </c>
      <c r="F88" s="297" t="str">
        <f>VLOOKUP(E88,'Types de monstres'!$A$2:$B$17,2,FALSE)</f>
        <v>MONSTROUS_CREATURE</v>
      </c>
      <c r="G88" s="297" t="str">
        <f t="shared" si="4"/>
        <v/>
      </c>
      <c r="H88" s="297" t="str">
        <f>IF(OR(G88="",G88="toute race"),"",VLOOKUP(G88,'Types de monstres'!$F$2:$G$49,2,FALSE))</f>
        <v/>
      </c>
      <c r="I88" s="297" t="s">
        <v>4112</v>
      </c>
      <c r="J88" s="302">
        <v>17</v>
      </c>
      <c r="K88" s="302">
        <v>94</v>
      </c>
      <c r="L88" s="297"/>
      <c r="M88" s="297" t="s">
        <v>4130</v>
      </c>
      <c r="N88" s="297" t="str">
        <f>IF(M88="sans alignement","",IF(M88="tout alignement", """1_LB"", ""2_NB"", ""3_CB"", ""4_LN"", ""5_NN"", ""6_CN"", ""7_LM"", ""8_NM"", ""9_CM""",IF(M88="tout alignement non bon", """4_LN"", ""5_NN"", ""6_CN"", ""7_LM"", ""8_NM"", ""9_CM""",IF(M88="tout alignement mauvais", """7_LM"", ""8_NM"", ""9_CM""",IF(M88="tout alignement chaotique", """3_CB"", ""6_CN"", ""9_CM""",IF(M88="tout alignement non loyal", """2_NB"", ""3_CB"", ""5_NN"", ""6_CN"", ""8_NM"", ""9_CM""",""""&amp;VLOOKUP(M88,Alignements!$A$2:$B$10,2, FALSE)&amp;""""))))))</f>
        <v/>
      </c>
      <c r="O88" s="297"/>
      <c r="P88" t="str">
        <f t="shared" si="5"/>
        <v>"Bulette": {
  "Name" : "Bulette",
  "VO" : "Bulette",
  "Family" : "MONSTROUS_CREATURE",
  "Species" : [""],
  "FP" : "5", 
  "Size" : "G",
  "AC" : 17,
  "HP" : 94, 
  "Speed" : "",
  "Alignments" : [],
  "Legendary" : ""}</v>
      </c>
    </row>
    <row r="89" spans="1:16">
      <c r="A89" s="299" t="s">
        <v>4264</v>
      </c>
      <c r="B89" s="298" t="s">
        <v>4264</v>
      </c>
      <c r="C89" s="306">
        <v>3</v>
      </c>
      <c r="D89" s="298" t="s">
        <v>4136</v>
      </c>
      <c r="E89" s="297" t="str">
        <f t="shared" si="3"/>
        <v>Fiélon</v>
      </c>
      <c r="F89" s="297" t="str">
        <f>VLOOKUP(E89,'Types de monstres'!$A$2:$B$17,2,FALSE)</f>
        <v>FIEND</v>
      </c>
      <c r="G89" s="297" t="str">
        <f t="shared" si="4"/>
        <v>démon</v>
      </c>
      <c r="H89" s="297" t="str">
        <f>IF(OR(G89="",G89="toute race"),"",VLOOKUP(G89,'Types de monstres'!$F$2:$G$49,2,FALSE))</f>
        <v>DAEMON</v>
      </c>
      <c r="I89" s="298" t="s">
        <v>4091</v>
      </c>
      <c r="J89" s="300">
        <v>14</v>
      </c>
      <c r="K89" s="300">
        <v>52</v>
      </c>
      <c r="L89" s="298"/>
      <c r="M89" s="298" t="s">
        <v>4137</v>
      </c>
      <c r="N89" s="297" t="str">
        <f>IF(M89="sans alignement","",IF(M89="tout alignement", """1_LB"", ""2_NB"", ""3_CB"", ""4_LN"", ""5_NN"", ""6_CN"", ""7_LM"", ""8_NM"", ""9_CM""",IF(M89="tout alignement non bon", """4_LN"", ""5_NN"", ""6_CN"", ""7_LM"", ""8_NM"", ""9_CM""",IF(M89="tout alignement mauvais", """7_LM"", ""8_NM"", ""9_CM""",IF(M89="tout alignement chaotique", """3_CB"", ""6_CN"", ""9_CM""",IF(M89="tout alignement non loyal", """2_NB"", ""3_CB"", ""5_NN"", ""6_CN"", ""8_NM"", ""9_CM""",""""&amp;VLOOKUP(M89,Alignements!$A$2:$B$10,2, FALSE)&amp;""""))))))</f>
        <v>"9_CM"</v>
      </c>
      <c r="O89" s="298"/>
      <c r="P89" t="str">
        <f t="shared" si="5"/>
        <v>"Bulezau": {
  "Name" : "Bulezau",
  "VO" : "Bulezau",
  "Family" : "FIEND",
  "Species" : ["DAEMON"],
  "FP" : "3", 
  "Size" : "M",
  "AC" : 14,
  "HP" : 52, 
  "Speed" : "",
  "Alignments" : ["9_CM"],
  "Legendary" : ""}</v>
      </c>
    </row>
    <row r="90" spans="1:16" ht="21">
      <c r="A90" s="61" t="s">
        <v>4265</v>
      </c>
      <c r="B90" s="297" t="s">
        <v>4265</v>
      </c>
      <c r="C90" s="305">
        <v>5</v>
      </c>
      <c r="D90" s="297" t="s">
        <v>2914</v>
      </c>
      <c r="E90" s="297" t="str">
        <f t="shared" si="3"/>
        <v>Fiélon</v>
      </c>
      <c r="F90" s="297" t="str">
        <f>VLOOKUP(E90,'Types de monstres'!$A$2:$B$17,2,FALSE)</f>
        <v>FIEND</v>
      </c>
      <c r="G90" s="297" t="str">
        <f t="shared" si="4"/>
        <v/>
      </c>
      <c r="H90" s="297" t="str">
        <f>IF(OR(G90="",G90="toute race"),"",VLOOKUP(G90,'Types de monstres'!$F$2:$G$49,2,FALSE))</f>
        <v/>
      </c>
      <c r="I90" s="297" t="s">
        <v>4091</v>
      </c>
      <c r="J90" s="302">
        <v>19</v>
      </c>
      <c r="K90" s="302">
        <v>82</v>
      </c>
      <c r="L90" s="297" t="s">
        <v>4092</v>
      </c>
      <c r="M90" s="297" t="s">
        <v>4134</v>
      </c>
      <c r="N90" s="297" t="str">
        <f>IF(M90="sans alignement","",IF(M90="tout alignement", """1_LB"", ""2_NB"", ""3_CB"", ""4_LN"", ""5_NN"", ""6_CN"", ""7_LM"", ""8_NM"", ""9_CM""",IF(M90="tout alignement non bon", """4_LN"", ""5_NN"", ""6_CN"", ""7_LM"", ""8_NM"", ""9_CM""",IF(M90="tout alignement mauvais", """7_LM"", ""8_NM"", ""9_CM""",IF(M90="tout alignement chaotique", """3_CB"", ""6_CN"", ""9_CM""",IF(M90="tout alignement non loyal", """2_NB"", ""3_CB"", ""5_NN"", ""6_CN"", ""8_NM"", ""9_CM""",""""&amp;VLOOKUP(M90,Alignements!$A$2:$B$10,2, FALSE)&amp;""""))))))</f>
        <v>"7_LM", "8_NM", "9_CM"</v>
      </c>
      <c r="O90" s="297"/>
      <c r="P90" t="str">
        <f t="shared" si="5"/>
        <v>"Cambion": {
  "Name" : "Cambion",
  "VO" : "Cambion",
  "Family" : "FIEND",
  "Species" : [""],
  "FP" : "5", 
  "Size" : "M",
  "AC" : 19,
  "HP" : 82, 
  "Speed" : "vol",
  "Alignments" : ["7_LM", "8_NM", "9_CM"],
  "Legendary" : ""}</v>
      </c>
    </row>
    <row r="91" spans="1:16">
      <c r="A91" s="299" t="s">
        <v>4266</v>
      </c>
      <c r="B91" s="298" t="s">
        <v>4266</v>
      </c>
      <c r="C91" s="306">
        <v>8</v>
      </c>
      <c r="D91" s="298" t="s">
        <v>4173</v>
      </c>
      <c r="E91" s="297" t="str">
        <f t="shared" si="3"/>
        <v>Fiélon</v>
      </c>
      <c r="F91" s="297" t="str">
        <f>VLOOKUP(E91,'Types de monstres'!$A$2:$B$17,2,FALSE)</f>
        <v>FIEND</v>
      </c>
      <c r="G91" s="297" t="str">
        <f t="shared" si="4"/>
        <v>yugoloth</v>
      </c>
      <c r="H91" s="297" t="str">
        <f>IF(OR(G91="",G91="toute race"),"",VLOOKUP(G91,'Types de monstres'!$F$2:$G$49,2,FALSE))</f>
        <v>YUGOLOTH</v>
      </c>
      <c r="I91" s="298" t="s">
        <v>4091</v>
      </c>
      <c r="J91" s="300">
        <v>16</v>
      </c>
      <c r="K91" s="300">
        <v>120</v>
      </c>
      <c r="L91" s="298"/>
      <c r="M91" s="298" t="s">
        <v>4118</v>
      </c>
      <c r="N91" s="297" t="str">
        <f>IF(M91="sans alignement","",IF(M91="tout alignement", """1_LB"", ""2_NB"", ""3_CB"", ""4_LN"", ""5_NN"", ""6_CN"", ""7_LM"", ""8_NM"", ""9_CM""",IF(M91="tout alignement non bon", """4_LN"", ""5_NN"", ""6_CN"", ""7_LM"", ""8_NM"", ""9_CM""",IF(M91="tout alignement mauvais", """7_LM"", ""8_NM"", ""9_CM""",IF(M91="tout alignement chaotique", """3_CB"", ""6_CN"", ""9_CM""",IF(M91="tout alignement non loyal", """2_NB"", ""3_CB"", ""5_NN"", ""6_CN"", ""8_NM"", ""9_CM""",""""&amp;VLOOKUP(M91,Alignements!$A$2:$B$10,2, FALSE)&amp;""""))))))</f>
        <v>"8_NM"</v>
      </c>
      <c r="O91" s="298"/>
      <c r="P91" t="str">
        <f t="shared" si="5"/>
        <v>"Canoloth": {
  "Name" : "Canoloth",
  "VO" : "Canoloth",
  "Family" : "FIEND",
  "Species" : ["YUGOLOTH"],
  "FP" : "8", 
  "Size" : "M",
  "AC" : 16,
  "HP" : 120, 
  "Speed" : "",
  "Alignments" : ["8_NM"],
  "Legendary" : ""}</v>
      </c>
    </row>
    <row r="92" spans="1:16">
      <c r="A92" s="61" t="s">
        <v>4267</v>
      </c>
      <c r="B92" s="297" t="s">
        <v>4268</v>
      </c>
      <c r="C92" s="305">
        <v>5</v>
      </c>
      <c r="D92" s="297" t="s">
        <v>4121</v>
      </c>
      <c r="E92" s="297" t="str">
        <f t="shared" si="3"/>
        <v>Créature monstrueuse</v>
      </c>
      <c r="F92" s="297" t="str">
        <f>VLOOKUP(E92,'Types de monstres'!$A$2:$B$17,2,FALSE)</f>
        <v>MONSTROUS_CREATURE</v>
      </c>
      <c r="G92" s="297" t="str">
        <f t="shared" si="4"/>
        <v/>
      </c>
      <c r="H92" s="297" t="str">
        <f>IF(OR(G92="",G92="toute race"),"",VLOOKUP(G92,'Types de monstres'!$F$2:$G$49,2,FALSE))</f>
        <v/>
      </c>
      <c r="I92" s="297" t="s">
        <v>4112</v>
      </c>
      <c r="J92" s="302">
        <v>14</v>
      </c>
      <c r="K92" s="302">
        <v>84</v>
      </c>
      <c r="L92" s="297"/>
      <c r="M92" s="297" t="s">
        <v>4130</v>
      </c>
      <c r="N92" s="297" t="str">
        <f>IF(M92="sans alignement","",IF(M92="tout alignement", """1_LB"", ""2_NB"", ""3_CB"", ""4_LN"", ""5_NN"", ""6_CN"", ""7_LM"", ""8_NM"", ""9_CM""",IF(M92="tout alignement non bon", """4_LN"", ""5_NN"", ""6_CN"", ""7_LM"", ""8_NM"", ""9_CM""",IF(M92="tout alignement mauvais", """7_LM"", ""8_NM"", ""9_CM""",IF(M92="tout alignement chaotique", """3_CB"", ""6_CN"", ""9_CM""",IF(M92="tout alignement non loyal", """2_NB"", ""3_CB"", ""5_NN"", ""6_CN"", ""8_NM"", ""9_CM""",""""&amp;VLOOKUP(M92,Alignements!$A$2:$B$10,2, FALSE)&amp;""""))))))</f>
        <v/>
      </c>
      <c r="O92" s="297"/>
      <c r="P92" t="str">
        <f t="shared" si="5"/>
        <v>"Catoblépas": {
  "Name" : "Catoblépas",
  "VO" : "Catoblepas",
  "Family" : "MONSTROUS_CREATURE",
  "Species" : [""],
  "FP" : "5", 
  "Size" : "G",
  "AC" : 14,
  "HP" : 84, 
  "Speed" : "",
  "Alignments" : [],
  "Legendary" : ""}</v>
      </c>
    </row>
    <row r="93" spans="1:16">
      <c r="A93" s="61" t="s">
        <v>4269</v>
      </c>
      <c r="B93" s="298" t="s">
        <v>4270</v>
      </c>
      <c r="C93" s="306">
        <v>2</v>
      </c>
      <c r="D93" s="298" t="s">
        <v>4121</v>
      </c>
      <c r="E93" s="297" t="str">
        <f t="shared" si="3"/>
        <v>Créature monstrueuse</v>
      </c>
      <c r="F93" s="297" t="str">
        <f>VLOOKUP(E93,'Types de monstres'!$A$2:$B$17,2,FALSE)</f>
        <v>MONSTROUS_CREATURE</v>
      </c>
      <c r="G93" s="297" t="str">
        <f t="shared" si="4"/>
        <v/>
      </c>
      <c r="H93" s="297" t="str">
        <f>IF(OR(G93="",G93="toute race"),"",VLOOKUP(G93,'Types de monstres'!$F$2:$G$49,2,FALSE))</f>
        <v/>
      </c>
      <c r="I93" s="298" t="s">
        <v>4112</v>
      </c>
      <c r="J93" s="300">
        <v>12</v>
      </c>
      <c r="K93" s="300">
        <v>45</v>
      </c>
      <c r="L93" s="298"/>
      <c r="M93" s="298" t="s">
        <v>4093</v>
      </c>
      <c r="N93" s="297" t="str">
        <f>IF(M93="sans alignement","",IF(M93="tout alignement", """1_LB"", ""2_NB"", ""3_CB"", ""4_LN"", ""5_NN"", ""6_CN"", ""7_LM"", ""8_NM"", ""9_CM""",IF(M93="tout alignement non bon", """4_LN"", ""5_NN"", ""6_CN"", ""7_LM"", ""8_NM"", ""9_CM""",IF(M93="tout alignement mauvais", """7_LM"", ""8_NM"", ""9_CM""",IF(M93="tout alignement chaotique", """3_CB"", ""6_CN"", ""9_CM""",IF(M93="tout alignement non loyal", """2_NB"", ""3_CB"", ""5_NN"", ""6_CN"", ""8_NM"", ""9_CM""",""""&amp;VLOOKUP(M93,Alignements!$A$2:$B$10,2, FALSE)&amp;""""))))))</f>
        <v>"2_NB"</v>
      </c>
      <c r="O93" s="298"/>
      <c r="P93" t="str">
        <f t="shared" si="5"/>
        <v>"Centaure": {
  "Name" : "Centaure",
  "VO" : "Centaur",
  "Family" : "MONSTROUS_CREATURE",
  "Species" : [""],
  "FP" : "2", 
  "Size" : "G",
  "AC" : 12,
  "HP" : 45, 
  "Speed" : "",
  "Alignments" : ["2_NB"],
  "Legendary" : ""}</v>
      </c>
    </row>
    <row r="94" spans="1:16">
      <c r="A94" s="61" t="s">
        <v>4271</v>
      </c>
      <c r="B94" s="297" t="s">
        <v>4272</v>
      </c>
      <c r="C94" s="305">
        <v>0</v>
      </c>
      <c r="D94" s="297" t="s">
        <v>4128</v>
      </c>
      <c r="E94" s="297" t="str">
        <f t="shared" si="3"/>
        <v>Bête</v>
      </c>
      <c r="F94" s="297" t="str">
        <f>VLOOKUP(E94,'Types de monstres'!$A$2:$B$17,2,FALSE)</f>
        <v>BEAST</v>
      </c>
      <c r="G94" s="297" t="str">
        <f t="shared" si="4"/>
        <v/>
      </c>
      <c r="H94" s="297" t="str">
        <f>IF(OR(G94="",G94="toute race"),"",VLOOKUP(G94,'Types de monstres'!$F$2:$G$49,2,FALSE))</f>
        <v/>
      </c>
      <c r="I94" s="297" t="s">
        <v>4091</v>
      </c>
      <c r="J94" s="302">
        <v>13</v>
      </c>
      <c r="K94" s="302">
        <v>4</v>
      </c>
      <c r="L94" s="297"/>
      <c r="M94" s="297" t="s">
        <v>4130</v>
      </c>
      <c r="N94" s="297" t="str">
        <f>IF(M94="sans alignement","",IF(M94="tout alignement", """1_LB"", ""2_NB"", ""3_CB"", ""4_LN"", ""5_NN"", ""6_CN"", ""7_LM"", ""8_NM"", ""9_CM""",IF(M94="tout alignement non bon", """4_LN"", ""5_NN"", ""6_CN"", ""7_LM"", ""8_NM"", ""9_CM""",IF(M94="tout alignement mauvais", """7_LM"", ""8_NM"", ""9_CM""",IF(M94="tout alignement chaotique", """3_CB"", ""6_CN"", ""9_CM""",IF(M94="tout alignement non loyal", """2_NB"", ""3_CB"", ""5_NN"", ""6_CN"", ""8_NM"", ""9_CM""",""""&amp;VLOOKUP(M94,Alignements!$A$2:$B$10,2, FALSE)&amp;""""))))))</f>
        <v/>
      </c>
      <c r="O94" s="297"/>
      <c r="P94" t="str">
        <f t="shared" si="5"/>
        <v>"Cerf": {
  "Name" : "Cerf",
  "VO" : "Deer",
  "Family" : "BEAST",
  "Species" : [""],
  "FP" : "0", 
  "Size" : "M",
  "AC" : 13,
  "HP" : 4, 
  "Speed" : "",
  "Alignments" : [],
  "Legendary" : ""}</v>
      </c>
    </row>
    <row r="95" spans="1:16">
      <c r="A95" s="61" t="s">
        <v>4273</v>
      </c>
      <c r="B95" s="298" t="s">
        <v>4274</v>
      </c>
      <c r="C95" s="306">
        <v>14</v>
      </c>
      <c r="D95" s="298" t="s">
        <v>4111</v>
      </c>
      <c r="E95" s="297" t="str">
        <f t="shared" si="3"/>
        <v>Aberration</v>
      </c>
      <c r="F95" s="297" t="str">
        <f>VLOOKUP(E95,'Types de monstres'!$A$2:$B$17,2,FALSE)</f>
        <v>ABERRATION</v>
      </c>
      <c r="G95" s="297" t="str">
        <f t="shared" si="4"/>
        <v/>
      </c>
      <c r="H95" s="297" t="str">
        <f>IF(OR(G95="",G95="toute race"),"",VLOOKUP(G95,'Types de monstres'!$F$2:$G$49,2,FALSE))</f>
        <v/>
      </c>
      <c r="I95" s="298" t="s">
        <v>4112</v>
      </c>
      <c r="J95" s="300">
        <v>10</v>
      </c>
      <c r="K95" s="300">
        <v>210</v>
      </c>
      <c r="L95" s="298" t="s">
        <v>4113</v>
      </c>
      <c r="M95" s="298" t="s">
        <v>4097</v>
      </c>
      <c r="N95" s="297" t="str">
        <f>IF(M95="sans alignement","",IF(M95="tout alignement", """1_LB"", ""2_NB"", ""3_CB"", ""4_LN"", ""5_NN"", ""6_CN"", ""7_LM"", ""8_NM"", ""9_CM""",IF(M95="tout alignement non bon", """4_LN"", ""5_NN"", ""6_CN"", ""7_LM"", ""8_NM"", ""9_CM""",IF(M95="tout alignement mauvais", """7_LM"", ""8_NM"", ""9_CM""",IF(M95="tout alignement chaotique", """3_CB"", ""6_CN"", ""9_CM""",IF(M95="tout alignement non loyal", """2_NB"", ""3_CB"", ""5_NN"", ""6_CN"", ""8_NM"", ""9_CM""",""""&amp;VLOOKUP(M95,Alignements!$A$2:$B$10,2, FALSE)&amp;""""))))))</f>
        <v>"7_LM"</v>
      </c>
      <c r="O95" s="298" t="s">
        <v>4114</v>
      </c>
      <c r="P95" t="str">
        <f t="shared" si="5"/>
        <v>"Cerveau, vénérable": {
  "Name" : "Cerveau, vénérable",
  "VO" : "Elder Brain",
  "Family" : "ABERRATION",
  "Species" : [""],
  "FP" : "14", 
  "Size" : "G",
  "AC" : 10,
  "HP" : 210, 
  "Speed" : "nage",
  "Alignments" : ["7_LM"],
  "Legendary" : "Légendaire"}</v>
      </c>
    </row>
    <row r="96" spans="1:16">
      <c r="A96" s="61" t="s">
        <v>4275</v>
      </c>
      <c r="B96" s="297" t="s">
        <v>4276</v>
      </c>
      <c r="C96" s="305">
        <v>0</v>
      </c>
      <c r="D96" s="297" t="s">
        <v>4128</v>
      </c>
      <c r="E96" s="297" t="str">
        <f t="shared" si="3"/>
        <v>Bête</v>
      </c>
      <c r="F96" s="297" t="str">
        <f>VLOOKUP(E96,'Types de monstres'!$A$2:$B$17,2,FALSE)</f>
        <v>BEAST</v>
      </c>
      <c r="G96" s="297" t="str">
        <f t="shared" si="4"/>
        <v/>
      </c>
      <c r="H96" s="297" t="str">
        <f>IF(OR(G96="",G96="toute race"),"",VLOOKUP(G96,'Types de monstres'!$F$2:$G$49,2,FALSE))</f>
        <v/>
      </c>
      <c r="I96" s="297" t="s">
        <v>4129</v>
      </c>
      <c r="J96" s="302">
        <v>12</v>
      </c>
      <c r="K96" s="302">
        <v>3</v>
      </c>
      <c r="L96" s="297"/>
      <c r="M96" s="297" t="s">
        <v>4130</v>
      </c>
      <c r="N96" s="297" t="str">
        <f>IF(M96="sans alignement","",IF(M96="tout alignement", """1_LB"", ""2_NB"", ""3_CB"", ""4_LN"", ""5_NN"", ""6_CN"", ""7_LM"", ""8_NM"", ""9_CM""",IF(M96="tout alignement non bon", """4_LN"", ""5_NN"", ""6_CN"", ""7_LM"", ""8_NM"", ""9_CM""",IF(M96="tout alignement mauvais", """7_LM"", ""8_NM"", ""9_CM""",IF(M96="tout alignement chaotique", """3_CB"", ""6_CN"", ""9_CM""",IF(M96="tout alignement non loyal", """2_NB"", ""3_CB"", ""5_NN"", ""6_CN"", ""8_NM"", ""9_CM""",""""&amp;VLOOKUP(M96,Alignements!$A$2:$B$10,2, FALSE)&amp;""""))))))</f>
        <v/>
      </c>
      <c r="O96" s="297"/>
      <c r="P96" t="str">
        <f t="shared" si="5"/>
        <v>"Chacal": {
  "Name" : "Chacal",
  "VO" : "Jackal",
  "Family" : "BEAST",
  "Species" : [""],
  "FP" : "0", 
  "Size" : "P",
  "AC" : 12,
  "HP" : 3, 
  "Speed" : "",
  "Alignments" : [],
  "Legendary" : ""}</v>
      </c>
    </row>
    <row r="97" spans="1:16">
      <c r="A97" s="61" t="s">
        <v>4277</v>
      </c>
      <c r="B97" s="298" t="s">
        <v>4278</v>
      </c>
      <c r="C97" s="306" t="s">
        <v>5620</v>
      </c>
      <c r="D97" s="298" t="s">
        <v>4279</v>
      </c>
      <c r="E97" s="297" t="str">
        <f t="shared" si="3"/>
        <v>Humanoïde</v>
      </c>
      <c r="F97" s="297" t="str">
        <f>VLOOKUP(E97,'Types de monstres'!$A$2:$B$17,2,FALSE)</f>
        <v>HUMANOID</v>
      </c>
      <c r="G97" s="297" t="str">
        <f t="shared" si="4"/>
        <v>métamorphe</v>
      </c>
      <c r="H97" s="297" t="str">
        <f>IF(OR(G97="",G97="toute race"),"",VLOOKUP(G97,'Types de monstres'!$F$2:$G$49,2,FALSE))</f>
        <v>METAMORPH</v>
      </c>
      <c r="I97" s="298" t="s">
        <v>4091</v>
      </c>
      <c r="J97" s="300">
        <v>12</v>
      </c>
      <c r="K97" s="300">
        <v>18</v>
      </c>
      <c r="L97" s="298"/>
      <c r="M97" s="298" t="s">
        <v>4137</v>
      </c>
      <c r="N97" s="297" t="str">
        <f>IF(M97="sans alignement","",IF(M97="tout alignement", """1_LB"", ""2_NB"", ""3_CB"", ""4_LN"", ""5_NN"", ""6_CN"", ""7_LM"", ""8_NM"", ""9_CM""",IF(M97="tout alignement non bon", """4_LN"", ""5_NN"", ""6_CN"", ""7_LM"", ""8_NM"", ""9_CM""",IF(M97="tout alignement mauvais", """7_LM"", ""8_NM"", ""9_CM""",IF(M97="tout alignement chaotique", """3_CB"", ""6_CN"", ""9_CM""",IF(M97="tout alignement non loyal", """2_NB"", ""3_CB"", ""5_NN"", ""6_CN"", ""8_NM"", ""9_CM""",""""&amp;VLOOKUP(M97,Alignements!$A$2:$B$10,2, FALSE)&amp;""""))))))</f>
        <v>"9_CM"</v>
      </c>
      <c r="O97" s="298"/>
      <c r="P97" t="str">
        <f t="shared" si="5"/>
        <v>"Chacalidé": {
  "Name" : "Chacalidé",
  "VO" : "Jackalwere",
  "Family" : "HUMANOID",
  "Species" : ["METAMORPH"],
  "FP" : "1/2", 
  "Size" : "M",
  "AC" : 12,
  "HP" : 18, 
  "Speed" : "",
  "Alignments" : ["9_CM"],
  "Legendary" : ""}</v>
      </c>
    </row>
    <row r="98" spans="1:16">
      <c r="A98" s="61" t="s">
        <v>753</v>
      </c>
      <c r="B98" s="297" t="s">
        <v>4280</v>
      </c>
      <c r="C98" s="305" t="s">
        <v>5619</v>
      </c>
      <c r="D98" s="297" t="s">
        <v>4128</v>
      </c>
      <c r="E98" s="297" t="str">
        <f t="shared" si="3"/>
        <v>Bête</v>
      </c>
      <c r="F98" s="297" t="str">
        <f>VLOOKUP(E98,'Types de monstres'!$A$2:$B$17,2,FALSE)</f>
        <v>BEAST</v>
      </c>
      <c r="G98" s="297" t="str">
        <f t="shared" si="4"/>
        <v/>
      </c>
      <c r="H98" s="297" t="str">
        <f>IF(OR(G98="",G98="toute race"),"",VLOOKUP(G98,'Types de monstres'!$F$2:$G$49,2,FALSE))</f>
        <v/>
      </c>
      <c r="I98" s="297" t="s">
        <v>4112</v>
      </c>
      <c r="J98" s="302">
        <v>9</v>
      </c>
      <c r="K98" s="302">
        <v>15</v>
      </c>
      <c r="L98" s="297"/>
      <c r="M98" s="297" t="s">
        <v>4130</v>
      </c>
      <c r="N98" s="297" t="str">
        <f>IF(M98="sans alignement","",IF(M98="tout alignement", """1_LB"", ""2_NB"", ""3_CB"", ""4_LN"", ""5_NN"", ""6_CN"", ""7_LM"", ""8_NM"", ""9_CM""",IF(M98="tout alignement non bon", """4_LN"", ""5_NN"", ""6_CN"", ""7_LM"", ""8_NM"", ""9_CM""",IF(M98="tout alignement mauvais", """7_LM"", ""8_NM"", ""9_CM""",IF(M98="tout alignement chaotique", """3_CB"", ""6_CN"", ""9_CM""",IF(M98="tout alignement non loyal", """2_NB"", ""3_CB"", ""5_NN"", ""6_CN"", ""8_NM"", ""9_CM""",""""&amp;VLOOKUP(M98,Alignements!$A$2:$B$10,2, FALSE)&amp;""""))))))</f>
        <v/>
      </c>
      <c r="O98" s="297"/>
      <c r="P98" t="str">
        <f t="shared" si="5"/>
        <v>"Chameau": {
  "Name" : "Chameau",
  "VO" : "Camel",
  "Family" : "BEAST",
  "Species" : [""],
  "FP" : "1/8", 
  "Size" : "G",
  "AC" : 9,
  "HP" : 15, 
  "Speed" : "",
  "Alignments" : [],
  "Legendary" : ""}</v>
      </c>
    </row>
    <row r="99" spans="1:16">
      <c r="A99" s="61" t="s">
        <v>3240</v>
      </c>
      <c r="B99" s="298" t="s">
        <v>3240</v>
      </c>
      <c r="C99" s="306">
        <v>9</v>
      </c>
      <c r="D99" s="298" t="s">
        <v>4108</v>
      </c>
      <c r="E99" s="297" t="str">
        <f t="shared" si="3"/>
        <v>Humanoïde</v>
      </c>
      <c r="F99" s="297" t="str">
        <f>VLOOKUP(E99,'Types de monstres'!$A$2:$B$17,2,FALSE)</f>
        <v>HUMANOID</v>
      </c>
      <c r="G99" s="297" t="str">
        <f t="shared" si="4"/>
        <v>toute race</v>
      </c>
      <c r="H99" s="297" t="str">
        <f>IF(OR(G99="",G99="toute race"),"",VLOOKUP(G99,'Types de monstres'!$F$2:$G$49,2,FALSE))</f>
        <v/>
      </c>
      <c r="I99" s="298" t="s">
        <v>4091</v>
      </c>
      <c r="J99" s="300">
        <v>18</v>
      </c>
      <c r="K99" s="300">
        <v>143</v>
      </c>
      <c r="L99" s="298"/>
      <c r="M99" s="298" t="s">
        <v>4109</v>
      </c>
      <c r="N99" s="297" t="str">
        <f>IF(M99="sans alignement","",IF(M99="tout alignement", """1_LB"", ""2_NB"", ""3_CB"", ""4_LN"", ""5_NN"", ""6_CN"", ""7_LM"", ""8_NM"", ""9_CM""",IF(M99="tout alignement non bon", """4_LN"", ""5_NN"", ""6_CN"", ""7_LM"", ""8_NM"", ""9_CM""",IF(M99="tout alignement mauvais", """7_LM"", ""8_NM"", ""9_CM""",IF(M99="tout alignement chaotique", """3_CB"", ""6_CN"", ""9_CM""",IF(M99="tout alignement non loyal", """2_NB"", ""3_CB"", ""5_NN"", ""6_CN"", ""8_NM"", ""9_CM""",""""&amp;VLOOKUP(M99,Alignements!$A$2:$B$10,2, FALSE)&amp;""""))))))</f>
        <v>"1_LB", "2_NB", "3_CB", "4_LN", "5_NN", "6_CN", "7_LM", "8_NM", "9_CM"</v>
      </c>
      <c r="O99" s="298"/>
      <c r="P99" t="str">
        <f t="shared" si="5"/>
        <v>"Champion": {
  "Name" : "Champion",
  "VO" : "Champion",
  "Family" : "HUMANOID",
  "Species" : [""],
  "FP" : "9", 
  "Size" : "M",
  "AC" : 18,
  "HP" : 143, 
  "Speed" : "",
  "Alignments" : ["1_LB", "2_NB", "3_CB", "4_LN", "5_NN", "6_CN", "7_LM", "8_NM", "9_CM"],
  "Legendary" : ""}</v>
      </c>
    </row>
    <row r="100" spans="1:16" ht="21">
      <c r="A100" s="301" t="s">
        <v>4281</v>
      </c>
      <c r="B100" s="297" t="s">
        <v>4282</v>
      </c>
      <c r="C100" s="305" t="s">
        <v>5620</v>
      </c>
      <c r="D100" s="297" t="s">
        <v>4283</v>
      </c>
      <c r="E100" s="297" t="str">
        <f t="shared" si="3"/>
        <v>Humanoïde</v>
      </c>
      <c r="F100" s="297" t="str">
        <f>VLOOKUP(E100,'Types de monstres'!$A$2:$B$17,2,FALSE)</f>
        <v>HUMANOID</v>
      </c>
      <c r="G100" s="297" t="str">
        <f t="shared" si="4"/>
        <v>changelin, métamorphe</v>
      </c>
      <c r="H100" s="297" t="s">
        <v>5727</v>
      </c>
      <c r="I100" s="297" t="s">
        <v>4091</v>
      </c>
      <c r="J100" s="302">
        <v>13</v>
      </c>
      <c r="K100" s="302">
        <v>22</v>
      </c>
      <c r="L100" s="297"/>
      <c r="M100" s="297" t="s">
        <v>4109</v>
      </c>
      <c r="N100" s="297" t="str">
        <f>IF(M100="sans alignement","",IF(M100="tout alignement", """1_LB"", ""2_NB"", ""3_CB"", ""4_LN"", ""5_NN"", ""6_CN"", ""7_LM"", ""8_NM"", ""9_CM""",IF(M100="tout alignement non bon", """4_LN"", ""5_NN"", ""6_CN"", ""7_LM"", ""8_NM"", ""9_CM""",IF(M100="tout alignement mauvais", """7_LM"", ""8_NM"", ""9_CM""",IF(M100="tout alignement chaotique", """3_CB"", ""6_CN"", ""9_CM""",IF(M100="tout alignement non loyal", """2_NB"", ""3_CB"", ""5_NN"", ""6_CN"", ""8_NM"", ""9_CM""",""""&amp;VLOOKUP(M100,Alignements!$A$2:$B$10,2, FALSE)&amp;""""))))))</f>
        <v>"1_LB", "2_NB", "3_CB", "4_LN", "5_NN", "6_CN", "7_LM", "8_NM", "9_CM"</v>
      </c>
      <c r="O100" s="297"/>
      <c r="P100" t="str">
        <f t="shared" si="5"/>
        <v>"Changelin": {
  "Name" : "Changelin",
  "VO" : "Changeling",
  "Family" : "HUMANOID",
  "Species" : ["CHANGELIN", "METAMORPH"],
  "FP" : "1/2", 
  "Size" : "M",
  "AC" : 13,
  "HP" : 22, 
  "Speed" : "",
  "Alignments" : ["1_LB", "2_NB", "3_CB", "4_LN", "5_NN", "6_CN", "7_LM", "8_NM", "9_CM"],
  "Legendary" : ""}</v>
      </c>
    </row>
    <row r="101" spans="1:16">
      <c r="A101" s="61" t="s">
        <v>4284</v>
      </c>
      <c r="B101" s="298" t="s">
        <v>4285</v>
      </c>
      <c r="C101" s="306">
        <v>2</v>
      </c>
      <c r="D101" s="298" t="s">
        <v>4121</v>
      </c>
      <c r="E101" s="297" t="str">
        <f t="shared" si="3"/>
        <v>Créature monstrueuse</v>
      </c>
      <c r="F101" s="297" t="str">
        <f>VLOOKUP(E101,'Types de monstres'!$A$2:$B$17,2,FALSE)</f>
        <v>MONSTROUS_CREATURE</v>
      </c>
      <c r="G101" s="297" t="str">
        <f t="shared" si="4"/>
        <v/>
      </c>
      <c r="H101" s="297" t="str">
        <f>IF(OR(G101="",G101="toute race"),"",VLOOKUP(G101,'Types de monstres'!$F$2:$G$49,2,FALSE))</f>
        <v/>
      </c>
      <c r="I101" s="298" t="s">
        <v>4112</v>
      </c>
      <c r="J101" s="300">
        <v>13</v>
      </c>
      <c r="K101" s="300">
        <v>51</v>
      </c>
      <c r="L101" s="298"/>
      <c r="M101" s="298" t="s">
        <v>4130</v>
      </c>
      <c r="N101" s="297" t="str">
        <f>IF(M101="sans alignement","",IF(M101="tout alignement", """1_LB"", ""2_NB"", ""3_CB"", ""4_LN"", ""5_NN"", ""6_CN"", ""7_LM"", ""8_NM"", ""9_CM""",IF(M101="tout alignement non bon", """4_LN"", ""5_NN"", ""6_CN"", ""7_LM"", ""8_NM"", ""9_CM""",IF(M101="tout alignement mauvais", """7_LM"", ""8_NM"", ""9_CM""",IF(M101="tout alignement chaotique", """3_CB"", ""6_CN"", ""9_CM""",IF(M101="tout alignement non loyal", """2_NB"", ""3_CB"", ""5_NN"", ""6_CN"", ""8_NM"", ""9_CM""",""""&amp;VLOOKUP(M101,Alignements!$A$2:$B$10,2, FALSE)&amp;""""))))))</f>
        <v/>
      </c>
      <c r="O101" s="298"/>
      <c r="P101" t="str">
        <f t="shared" si="5"/>
        <v>"Charognard rampant": {
  "Name" : "Charognard rampant",
  "VO" : "Carrion Crawler",
  "Family" : "MONSTROUS_CREATURE",
  "Species" : [""],
  "FP" : "2", 
  "Size" : "G",
  "AC" : 13,
  "HP" : 51, 
  "Speed" : "",
  "Alignments" : [],
  "Legendary" : ""}</v>
      </c>
    </row>
    <row r="102" spans="1:16">
      <c r="A102" s="61" t="s">
        <v>4286</v>
      </c>
      <c r="B102" s="297" t="s">
        <v>4286</v>
      </c>
      <c r="C102" s="305">
        <v>6</v>
      </c>
      <c r="D102" s="297" t="s">
        <v>4136</v>
      </c>
      <c r="E102" s="297" t="str">
        <f t="shared" si="3"/>
        <v>Fiélon</v>
      </c>
      <c r="F102" s="297" t="str">
        <f>VLOOKUP(E102,'Types de monstres'!$A$2:$B$17,2,FALSE)</f>
        <v>FIEND</v>
      </c>
      <c r="G102" s="297" t="str">
        <f t="shared" si="4"/>
        <v>démon</v>
      </c>
      <c r="H102" s="297" t="str">
        <f>IF(OR(G102="",G102="toute race"),"",VLOOKUP(G102,'Types de monstres'!$F$2:$G$49,2,FALSE))</f>
        <v>DAEMON</v>
      </c>
      <c r="I102" s="297" t="s">
        <v>4112</v>
      </c>
      <c r="J102" s="302">
        <v>15</v>
      </c>
      <c r="K102" s="302">
        <v>84</v>
      </c>
      <c r="L102" s="297" t="s">
        <v>4092</v>
      </c>
      <c r="M102" s="297" t="s">
        <v>4137</v>
      </c>
      <c r="N102" s="297" t="str">
        <f>IF(M102="sans alignement","",IF(M102="tout alignement", """1_LB"", ""2_NB"", ""3_CB"", ""4_LN"", ""5_NN"", ""6_CN"", ""7_LM"", ""8_NM"", ""9_CM""",IF(M102="tout alignement non bon", """4_LN"", ""5_NN"", ""6_CN"", ""7_LM"", ""8_NM"", ""9_CM""",IF(M102="tout alignement mauvais", """7_LM"", ""8_NM"", ""9_CM""",IF(M102="tout alignement chaotique", """3_CB"", ""6_CN"", ""9_CM""",IF(M102="tout alignement non loyal", """2_NB"", ""3_CB"", ""5_NN"", ""6_CN"", ""8_NM"", ""9_CM""",""""&amp;VLOOKUP(M102,Alignements!$A$2:$B$10,2, FALSE)&amp;""""))))))</f>
        <v>"9_CM"</v>
      </c>
      <c r="O102" s="297"/>
      <c r="P102" t="str">
        <f t="shared" si="5"/>
        <v>"Chasme": {
  "Name" : "Chasme",
  "VO" : "Chasme",
  "Family" : "FIEND",
  "Species" : ["DAEMON"],
  "FP" : "6", 
  "Size" : "G",
  "AC" : 15,
  "HP" : 84, 
  "Speed" : "vol",
  "Alignments" : ["9_CM"],
  "Legendary" : ""}</v>
      </c>
    </row>
    <row r="103" spans="1:16" ht="21">
      <c r="A103" s="299" t="s">
        <v>4287</v>
      </c>
      <c r="B103" s="298" t="s">
        <v>4288</v>
      </c>
      <c r="C103" s="306">
        <v>5</v>
      </c>
      <c r="D103" s="298" t="s">
        <v>4108</v>
      </c>
      <c r="E103" s="297" t="str">
        <f t="shared" si="3"/>
        <v>Humanoïde</v>
      </c>
      <c r="F103" s="297" t="str">
        <f>VLOOKUP(E103,'Types de monstres'!$A$2:$B$17,2,FALSE)</f>
        <v>HUMANOID</v>
      </c>
      <c r="G103" s="297" t="str">
        <f t="shared" si="4"/>
        <v>toute race</v>
      </c>
      <c r="H103" s="297" t="str">
        <f>IF(OR(G103="",G103="toute race"),"",VLOOKUP(G103,'Types de monstres'!$F$2:$G$49,2,FALSE))</f>
        <v/>
      </c>
      <c r="I103" s="298" t="s">
        <v>4091</v>
      </c>
      <c r="J103" s="300">
        <v>16</v>
      </c>
      <c r="K103" s="300">
        <v>65</v>
      </c>
      <c r="L103" s="298"/>
      <c r="M103" s="298" t="s">
        <v>4109</v>
      </c>
      <c r="N103" s="297" t="str">
        <f>IF(M103="sans alignement","",IF(M103="tout alignement", """1_LB"", ""2_NB"", ""3_CB"", ""4_LN"", ""5_NN"", ""6_CN"", ""7_LM"", ""8_NM"", ""9_CM""",IF(M103="tout alignement non bon", """4_LN"", ""5_NN"", ""6_CN"", ""7_LM"", ""8_NM"", ""9_CM""",IF(M103="tout alignement mauvais", """7_LM"", ""8_NM"", ""9_CM""",IF(M103="tout alignement chaotique", """3_CB"", ""6_CN"", ""9_CM""",IF(M103="tout alignement non loyal", """2_NB"", ""3_CB"", ""5_NN"", ""6_CN"", ""8_NM"", ""9_CM""",""""&amp;VLOOKUP(M103,Alignements!$A$2:$B$10,2, FALSE)&amp;""""))))))</f>
        <v>"1_LB", "2_NB", "3_CB", "4_LN", "5_NN", "6_CN", "7_LM", "8_NM", "9_CM"</v>
      </c>
      <c r="O103" s="298"/>
      <c r="P103" t="str">
        <f t="shared" si="5"/>
        <v>"Chasseur sanguinaire": {
  "Name" : "Chasseur sanguinaire",
  "VO" : "Blood Hunter",
  "Family" : "HUMANOID",
  "Species" : [""],
  "FP" : "5", 
  "Size" : "M",
  "AC" : 16,
  "HP" : 65, 
  "Speed" : "",
  "Alignments" : ["1_LB", "2_NB", "3_CB", "4_LN", "5_NN", "6_CN", "7_LM", "8_NM", "9_CM"],
  "Legendary" : ""}</v>
      </c>
    </row>
    <row r="104" spans="1:16">
      <c r="A104" s="61" t="s">
        <v>4289</v>
      </c>
      <c r="B104" s="297" t="s">
        <v>4290</v>
      </c>
      <c r="C104" s="305">
        <v>0</v>
      </c>
      <c r="D104" s="297" t="s">
        <v>4128</v>
      </c>
      <c r="E104" s="297" t="str">
        <f t="shared" si="3"/>
        <v>Bête</v>
      </c>
      <c r="F104" s="297" t="str">
        <f>VLOOKUP(E104,'Types de monstres'!$A$2:$B$17,2,FALSE)</f>
        <v>BEAST</v>
      </c>
      <c r="G104" s="297" t="str">
        <f t="shared" si="4"/>
        <v/>
      </c>
      <c r="H104" s="297" t="str">
        <f>IF(OR(G104="",G104="toute race"),"",VLOOKUP(G104,'Types de monstres'!$F$2:$G$49,2,FALSE))</f>
        <v/>
      </c>
      <c r="I104" s="297" t="s">
        <v>4154</v>
      </c>
      <c r="J104" s="302">
        <v>12</v>
      </c>
      <c r="K104" s="302">
        <v>2</v>
      </c>
      <c r="L104" s="297"/>
      <c r="M104" s="297" t="s">
        <v>4130</v>
      </c>
      <c r="N104" s="297" t="str">
        <f>IF(M104="sans alignement","",IF(M104="tout alignement", """1_LB"", ""2_NB"", ""3_CB"", ""4_LN"", ""5_NN"", ""6_CN"", ""7_LM"", ""8_NM"", ""9_CM""",IF(M104="tout alignement non bon", """4_LN"", ""5_NN"", ""6_CN"", ""7_LM"", ""8_NM"", ""9_CM""",IF(M104="tout alignement mauvais", """7_LM"", ""8_NM"", ""9_CM""",IF(M104="tout alignement chaotique", """3_CB"", ""6_CN"", ""9_CM""",IF(M104="tout alignement non loyal", """2_NB"", ""3_CB"", ""5_NN"", ""6_CN"", ""8_NM"", ""9_CM""",""""&amp;VLOOKUP(M104,Alignements!$A$2:$B$10,2, FALSE)&amp;""""))))))</f>
        <v/>
      </c>
      <c r="O104" s="297"/>
      <c r="P104" t="str">
        <f t="shared" si="5"/>
        <v>"Chat": {
  "Name" : "Chat",
  "VO" : "Cat",
  "Family" : "BEAST",
  "Species" : [""],
  "FP" : "0", 
  "Size" : "TP",
  "AC" : 12,
  "HP" : 2, 
  "Speed" : "",
  "Alignments" : [],
  "Legendary" : ""}</v>
      </c>
    </row>
    <row r="105" spans="1:16">
      <c r="A105" s="61" t="s">
        <v>4291</v>
      </c>
      <c r="B105" s="298" t="s">
        <v>4292</v>
      </c>
      <c r="C105" s="306">
        <v>0</v>
      </c>
      <c r="D105" s="298" t="s">
        <v>4128</v>
      </c>
      <c r="E105" s="297" t="str">
        <f t="shared" si="3"/>
        <v>Bête</v>
      </c>
      <c r="F105" s="297" t="str">
        <f>VLOOKUP(E105,'Types de monstres'!$A$2:$B$17,2,FALSE)</f>
        <v>BEAST</v>
      </c>
      <c r="G105" s="297" t="str">
        <f t="shared" si="4"/>
        <v/>
      </c>
      <c r="H105" s="297" t="str">
        <f>IF(OR(G105="",G105="toute race"),"",VLOOKUP(G105,'Types de monstres'!$F$2:$G$49,2,FALSE))</f>
        <v/>
      </c>
      <c r="I105" s="298" t="s">
        <v>4154</v>
      </c>
      <c r="J105" s="300">
        <v>12</v>
      </c>
      <c r="K105" s="300">
        <v>1</v>
      </c>
      <c r="L105" s="298" t="s">
        <v>4092</v>
      </c>
      <c r="M105" s="298" t="s">
        <v>4130</v>
      </c>
      <c r="N105" s="297" t="str">
        <f>IF(M105="sans alignement","",IF(M105="tout alignement", """1_LB"", ""2_NB"", ""3_CB"", ""4_LN"", ""5_NN"", ""6_CN"", ""7_LM"", ""8_NM"", ""9_CM""",IF(M105="tout alignement non bon", """4_LN"", ""5_NN"", ""6_CN"", ""7_LM"", ""8_NM"", ""9_CM""",IF(M105="tout alignement mauvais", """7_LM"", ""8_NM"", ""9_CM""",IF(M105="tout alignement chaotique", """3_CB"", ""6_CN"", ""9_CM""",IF(M105="tout alignement non loyal", """2_NB"", ""3_CB"", ""5_NN"", ""6_CN"", ""8_NM"", ""9_CM""",""""&amp;VLOOKUP(M105,Alignements!$A$2:$B$10,2, FALSE)&amp;""""))))))</f>
        <v/>
      </c>
      <c r="O105" s="298"/>
      <c r="P105" t="str">
        <f t="shared" si="5"/>
        <v>"Chauve-souris": {
  "Name" : "Chauve-souris",
  "VO" : "Bat",
  "Family" : "BEAST",
  "Species" : [""],
  "FP" : "0", 
  "Size" : "TP",
  "AC" : 12,
  "HP" : 1, 
  "Speed" : "vol",
  "Alignments" : [],
  "Legendary" : ""}</v>
      </c>
    </row>
    <row r="106" spans="1:16">
      <c r="A106" s="61" t="s">
        <v>4293</v>
      </c>
      <c r="B106" s="297" t="s">
        <v>4294</v>
      </c>
      <c r="C106" s="305" t="s">
        <v>5618</v>
      </c>
      <c r="D106" s="297" t="s">
        <v>4128</v>
      </c>
      <c r="E106" s="297" t="str">
        <f t="shared" si="3"/>
        <v>Bête</v>
      </c>
      <c r="F106" s="297" t="str">
        <f>VLOOKUP(E106,'Types de monstres'!$A$2:$B$17,2,FALSE)</f>
        <v>BEAST</v>
      </c>
      <c r="G106" s="297" t="str">
        <f t="shared" si="4"/>
        <v/>
      </c>
      <c r="H106" s="297" t="str">
        <f>IF(OR(G106="",G106="toute race"),"",VLOOKUP(G106,'Types de monstres'!$F$2:$G$49,2,FALSE))</f>
        <v/>
      </c>
      <c r="I106" s="297" t="s">
        <v>4112</v>
      </c>
      <c r="J106" s="302">
        <v>13</v>
      </c>
      <c r="K106" s="302">
        <v>22</v>
      </c>
      <c r="L106" s="297" t="s">
        <v>4092</v>
      </c>
      <c r="M106" s="297" t="s">
        <v>4130</v>
      </c>
      <c r="N106" s="297" t="str">
        <f>IF(M106="sans alignement","",IF(M106="tout alignement", """1_LB"", ""2_NB"", ""3_CB"", ""4_LN"", ""5_NN"", ""6_CN"", ""7_LM"", ""8_NM"", ""9_CM""",IF(M106="tout alignement non bon", """4_LN"", ""5_NN"", ""6_CN"", ""7_LM"", ""8_NM"", ""9_CM""",IF(M106="tout alignement mauvais", """7_LM"", ""8_NM"", ""9_CM""",IF(M106="tout alignement chaotique", """3_CB"", ""6_CN"", ""9_CM""",IF(M106="tout alignement non loyal", """2_NB"", ""3_CB"", ""5_NN"", ""6_CN"", ""8_NM"", ""9_CM""",""""&amp;VLOOKUP(M106,Alignements!$A$2:$B$10,2, FALSE)&amp;""""))))))</f>
        <v/>
      </c>
      <c r="O106" s="297"/>
      <c r="P106" t="str">
        <f t="shared" si="5"/>
        <v>"Chauve-souris géante": {
  "Name" : "Chauve-souris géante",
  "VO" : "Giant Bat",
  "Family" : "BEAST",
  "Species" : [""],
  "FP" : "1/4", 
  "Size" : "G",
  "AC" : 13,
  "HP" : 22, 
  "Speed" : "vol",
  "Alignments" : [],
  "Legendary" : ""}</v>
      </c>
    </row>
    <row r="107" spans="1:16">
      <c r="A107" s="61" t="s">
        <v>756</v>
      </c>
      <c r="B107" s="298" t="s">
        <v>4295</v>
      </c>
      <c r="C107" s="306" t="s">
        <v>5620</v>
      </c>
      <c r="D107" s="298" t="s">
        <v>4128</v>
      </c>
      <c r="E107" s="297" t="str">
        <f t="shared" si="3"/>
        <v>Bête</v>
      </c>
      <c r="F107" s="297" t="str">
        <f>VLOOKUP(E107,'Types de monstres'!$A$2:$B$17,2,FALSE)</f>
        <v>BEAST</v>
      </c>
      <c r="G107" s="297" t="str">
        <f t="shared" si="4"/>
        <v/>
      </c>
      <c r="H107" s="297" t="str">
        <f>IF(OR(G107="",G107="toute race"),"",VLOOKUP(G107,'Types de monstres'!$F$2:$G$49,2,FALSE))</f>
        <v/>
      </c>
      <c r="I107" s="298" t="s">
        <v>4112</v>
      </c>
      <c r="J107" s="300">
        <v>11</v>
      </c>
      <c r="K107" s="300">
        <v>19</v>
      </c>
      <c r="L107" s="298"/>
      <c r="M107" s="298" t="s">
        <v>4130</v>
      </c>
      <c r="N107" s="297" t="str">
        <f>IF(M107="sans alignement","",IF(M107="tout alignement", """1_LB"", ""2_NB"", ""3_CB"", ""4_LN"", ""5_NN"", ""6_CN"", ""7_LM"", ""8_NM"", ""9_CM""",IF(M107="tout alignement non bon", """4_LN"", ""5_NN"", ""6_CN"", ""7_LM"", ""8_NM"", ""9_CM""",IF(M107="tout alignement mauvais", """7_LM"", ""8_NM"", ""9_CM""",IF(M107="tout alignement chaotique", """3_CB"", ""6_CN"", ""9_CM""",IF(M107="tout alignement non loyal", """2_NB"", ""3_CB"", ""5_NN"", ""6_CN"", ""8_NM"", ""9_CM""",""""&amp;VLOOKUP(M107,Alignements!$A$2:$B$10,2, FALSE)&amp;""""))))))</f>
        <v/>
      </c>
      <c r="O107" s="298"/>
      <c r="P107" t="str">
        <f t="shared" si="5"/>
        <v>"Cheval de guerre": {
  "Name" : "Cheval de guerre",
  "VO" : "Warhorse",
  "Family" : "BEAST",
  "Species" : [""],
  "FP" : "1/2", 
  "Size" : "G",
  "AC" : 11,
  "HP" : 19, 
  "Speed" : "",
  "Alignments" : [],
  "Legendary" : ""}</v>
      </c>
    </row>
    <row r="108" spans="1:16">
      <c r="A108" s="61" t="s">
        <v>4296</v>
      </c>
      <c r="B108" s="297" t="s">
        <v>4297</v>
      </c>
      <c r="C108" s="305" t="s">
        <v>5620</v>
      </c>
      <c r="D108" s="297" t="s">
        <v>4117</v>
      </c>
      <c r="E108" s="297" t="str">
        <f t="shared" si="3"/>
        <v>Mort-vivant</v>
      </c>
      <c r="F108" s="297" t="str">
        <f>VLOOKUP(E108,'Types de monstres'!$A$2:$B$17,2,FALSE)</f>
        <v>UNDEAD</v>
      </c>
      <c r="G108" s="297" t="str">
        <f t="shared" si="4"/>
        <v/>
      </c>
      <c r="H108" s="297" t="str">
        <f>IF(OR(G108="",G108="toute race"),"",VLOOKUP(G108,'Types de monstres'!$F$2:$G$49,2,FALSE))</f>
        <v/>
      </c>
      <c r="I108" s="297" t="s">
        <v>4112</v>
      </c>
      <c r="J108" s="302">
        <v>13</v>
      </c>
      <c r="K108" s="302">
        <v>22</v>
      </c>
      <c r="L108" s="297"/>
      <c r="M108" s="297" t="s">
        <v>4097</v>
      </c>
      <c r="N108" s="297" t="str">
        <f>IF(M108="sans alignement","",IF(M108="tout alignement", """1_LB"", ""2_NB"", ""3_CB"", ""4_LN"", ""5_NN"", ""6_CN"", ""7_LM"", ""8_NM"", ""9_CM""",IF(M108="tout alignement non bon", """4_LN"", ""5_NN"", ""6_CN"", ""7_LM"", ""8_NM"", ""9_CM""",IF(M108="tout alignement mauvais", """7_LM"", ""8_NM"", ""9_CM""",IF(M108="tout alignement chaotique", """3_CB"", ""6_CN"", ""9_CM""",IF(M108="tout alignement non loyal", """2_NB"", ""3_CB"", ""5_NN"", ""6_CN"", ""8_NM"", ""9_CM""",""""&amp;VLOOKUP(M108,Alignements!$A$2:$B$10,2, FALSE)&amp;""""))))))</f>
        <v>"7_LM"</v>
      </c>
      <c r="O108" s="297"/>
      <c r="P108" t="str">
        <f t="shared" si="5"/>
        <v>"Cheval de guerre squelette": {
  "Name" : "Cheval de guerre squelette",
  "VO" : "Warhorse Skeleton",
  "Family" : "UNDEAD",
  "Species" : [""],
  "FP" : "1/2", 
  "Size" : "G",
  "AC" : 13,
  "HP" : 22, 
  "Speed" : "",
  "Alignments" : ["7_LM"],
  "Legendary" : ""}</v>
      </c>
    </row>
    <row r="109" spans="1:16">
      <c r="A109" s="61" t="s">
        <v>759</v>
      </c>
      <c r="B109" s="298" t="s">
        <v>4298</v>
      </c>
      <c r="C109" s="306" t="s">
        <v>5618</v>
      </c>
      <c r="D109" s="298" t="s">
        <v>4128</v>
      </c>
      <c r="E109" s="297" t="str">
        <f t="shared" si="3"/>
        <v>Bête</v>
      </c>
      <c r="F109" s="297" t="str">
        <f>VLOOKUP(E109,'Types de monstres'!$A$2:$B$17,2,FALSE)</f>
        <v>BEAST</v>
      </c>
      <c r="G109" s="297" t="str">
        <f t="shared" si="4"/>
        <v/>
      </c>
      <c r="H109" s="297" t="str">
        <f>IF(OR(G109="",G109="toute race"),"",VLOOKUP(G109,'Types de monstres'!$F$2:$G$49,2,FALSE))</f>
        <v/>
      </c>
      <c r="I109" s="298" t="s">
        <v>4112</v>
      </c>
      <c r="J109" s="300">
        <v>10</v>
      </c>
      <c r="K109" s="300">
        <v>13</v>
      </c>
      <c r="L109" s="298"/>
      <c r="M109" s="298" t="s">
        <v>4130</v>
      </c>
      <c r="N109" s="297" t="str">
        <f>IF(M109="sans alignement","",IF(M109="tout alignement", """1_LB"", ""2_NB"", ""3_CB"", ""4_LN"", ""5_NN"", ""6_CN"", ""7_LM"", ""8_NM"", ""9_CM""",IF(M109="tout alignement non bon", """4_LN"", ""5_NN"", ""6_CN"", ""7_LM"", ""8_NM"", ""9_CM""",IF(M109="tout alignement mauvais", """7_LM"", ""8_NM"", ""9_CM""",IF(M109="tout alignement chaotique", """3_CB"", ""6_CN"", ""9_CM""",IF(M109="tout alignement non loyal", """2_NB"", ""3_CB"", ""5_NN"", ""6_CN"", ""8_NM"", ""9_CM""",""""&amp;VLOOKUP(M109,Alignements!$A$2:$B$10,2, FALSE)&amp;""""))))))</f>
        <v/>
      </c>
      <c r="O109" s="298"/>
      <c r="P109" t="str">
        <f t="shared" si="5"/>
        <v>"Cheval de selle": {
  "Name" : "Cheval de selle",
  "VO" : "Riding Horse",
  "Family" : "BEAST",
  "Species" : [""],
  "FP" : "1/4", 
  "Size" : "G",
  "AC" : 10,
  "HP" : 13, 
  "Speed" : "",
  "Alignments" : [],
  "Legendary" : ""}</v>
      </c>
    </row>
    <row r="110" spans="1:16">
      <c r="A110" s="61" t="s">
        <v>760</v>
      </c>
      <c r="B110" s="297" t="s">
        <v>4299</v>
      </c>
      <c r="C110" s="305" t="s">
        <v>5618</v>
      </c>
      <c r="D110" s="297" t="s">
        <v>4128</v>
      </c>
      <c r="E110" s="297" t="str">
        <f t="shared" si="3"/>
        <v>Bête</v>
      </c>
      <c r="F110" s="297" t="str">
        <f>VLOOKUP(E110,'Types de monstres'!$A$2:$B$17,2,FALSE)</f>
        <v>BEAST</v>
      </c>
      <c r="G110" s="297" t="str">
        <f t="shared" si="4"/>
        <v/>
      </c>
      <c r="H110" s="297" t="str">
        <f>IF(OR(G110="",G110="toute race"),"",VLOOKUP(G110,'Types de monstres'!$F$2:$G$49,2,FALSE))</f>
        <v/>
      </c>
      <c r="I110" s="297" t="s">
        <v>4112</v>
      </c>
      <c r="J110" s="302">
        <v>10</v>
      </c>
      <c r="K110" s="302">
        <v>19</v>
      </c>
      <c r="L110" s="297"/>
      <c r="M110" s="297" t="s">
        <v>4130</v>
      </c>
      <c r="N110" s="297" t="str">
        <f>IF(M110="sans alignement","",IF(M110="tout alignement", """1_LB"", ""2_NB"", ""3_CB"", ""4_LN"", ""5_NN"", ""6_CN"", ""7_LM"", ""8_NM"", ""9_CM""",IF(M110="tout alignement non bon", """4_LN"", ""5_NN"", ""6_CN"", ""7_LM"", ""8_NM"", ""9_CM""",IF(M110="tout alignement mauvais", """7_LM"", ""8_NM"", ""9_CM""",IF(M110="tout alignement chaotique", """3_CB"", ""6_CN"", ""9_CM""",IF(M110="tout alignement non loyal", """2_NB"", ""3_CB"", ""5_NN"", ""6_CN"", ""8_NM"", ""9_CM""",""""&amp;VLOOKUP(M110,Alignements!$A$2:$B$10,2, FALSE)&amp;""""))))))</f>
        <v/>
      </c>
      <c r="O110" s="297"/>
      <c r="P110" t="str">
        <f t="shared" si="5"/>
        <v>"Cheval de trait": {
  "Name" : "Cheval de trait",
  "VO" : "Draft Horse",
  "Family" : "BEAST",
  "Species" : [""],
  "FP" : "1/4", 
  "Size" : "G",
  "AC" : 10,
  "HP" : 19, 
  "Speed" : "",
  "Alignments" : [],
  "Legendary" : ""}</v>
      </c>
    </row>
    <row r="111" spans="1:16">
      <c r="A111" s="61" t="s">
        <v>4300</v>
      </c>
      <c r="B111" s="298" t="s">
        <v>4301</v>
      </c>
      <c r="C111" s="306">
        <v>3</v>
      </c>
      <c r="D111" s="298" t="s">
        <v>4108</v>
      </c>
      <c r="E111" s="297" t="str">
        <f t="shared" si="3"/>
        <v>Humanoïde</v>
      </c>
      <c r="F111" s="297" t="str">
        <f>VLOOKUP(E111,'Types de monstres'!$A$2:$B$17,2,FALSE)</f>
        <v>HUMANOID</v>
      </c>
      <c r="G111" s="297" t="str">
        <f t="shared" si="4"/>
        <v>toute race</v>
      </c>
      <c r="H111" s="297" t="str">
        <f>IF(OR(G111="",G111="toute race"),"",VLOOKUP(G111,'Types de monstres'!$F$2:$G$49,2,FALSE))</f>
        <v/>
      </c>
      <c r="I111" s="298" t="s">
        <v>4091</v>
      </c>
      <c r="J111" s="300">
        <v>18</v>
      </c>
      <c r="K111" s="300">
        <v>52</v>
      </c>
      <c r="L111" s="298"/>
      <c r="M111" s="298" t="s">
        <v>4109</v>
      </c>
      <c r="N111" s="297" t="str">
        <f>IF(M111="sans alignement","",IF(M111="tout alignement", """1_LB"", ""2_NB"", ""3_CB"", ""4_LN"", ""5_NN"", ""6_CN"", ""7_LM"", ""8_NM"", ""9_CM""",IF(M111="tout alignement non bon", """4_LN"", ""5_NN"", ""6_CN"", ""7_LM"", ""8_NM"", ""9_CM""",IF(M111="tout alignement mauvais", """7_LM"", ""8_NM"", ""9_CM""",IF(M111="tout alignement chaotique", """3_CB"", ""6_CN"", ""9_CM""",IF(M111="tout alignement non loyal", """2_NB"", ""3_CB"", ""5_NN"", ""6_CN"", ""8_NM"", ""9_CM""",""""&amp;VLOOKUP(M111,Alignements!$A$2:$B$10,2, FALSE)&amp;""""))))))</f>
        <v>"1_LB", "2_NB", "3_CB", "4_LN", "5_NN", "6_CN", "7_LM", "8_NM", "9_CM"</v>
      </c>
      <c r="O111" s="298"/>
      <c r="P111" t="str">
        <f t="shared" si="5"/>
        <v>"Chevalier": {
  "Name" : "Chevalier",
  "VO" : "Knight",
  "Family" : "HUMANOID",
  "Species" : [""],
  "FP" : "3", 
  "Size" : "M",
  "AC" : 18,
  "HP" : 52, 
  "Speed" : "",
  "Alignments" : ["1_LB", "2_NB", "3_CB", "4_LN", "5_NN", "6_CN", "7_LM", "8_NM", "9_CM"],
  "Legendary" : ""}</v>
      </c>
    </row>
    <row r="112" spans="1:16">
      <c r="A112" s="61" t="s">
        <v>4302</v>
      </c>
      <c r="B112" s="297" t="s">
        <v>4303</v>
      </c>
      <c r="C112" s="305">
        <v>17</v>
      </c>
      <c r="D112" s="297" t="s">
        <v>4117</v>
      </c>
      <c r="E112" s="297" t="str">
        <f t="shared" si="3"/>
        <v>Mort-vivant</v>
      </c>
      <c r="F112" s="297" t="str">
        <f>VLOOKUP(E112,'Types de monstres'!$A$2:$B$17,2,FALSE)</f>
        <v>UNDEAD</v>
      </c>
      <c r="G112" s="297" t="str">
        <f t="shared" si="4"/>
        <v/>
      </c>
      <c r="H112" s="297" t="str">
        <f>IF(OR(G112="",G112="toute race"),"",VLOOKUP(G112,'Types de monstres'!$F$2:$G$49,2,FALSE))</f>
        <v/>
      </c>
      <c r="I112" s="297" t="s">
        <v>4091</v>
      </c>
      <c r="J112" s="302">
        <v>20</v>
      </c>
      <c r="K112" s="302">
        <v>180</v>
      </c>
      <c r="L112" s="297"/>
      <c r="M112" s="297" t="s">
        <v>4137</v>
      </c>
      <c r="N112" s="297" t="str">
        <f>IF(M112="sans alignement","",IF(M112="tout alignement", """1_LB"", ""2_NB"", ""3_CB"", ""4_LN"", ""5_NN"", ""6_CN"", ""7_LM"", ""8_NM"", ""9_CM""",IF(M112="tout alignement non bon", """4_LN"", ""5_NN"", ""6_CN"", ""7_LM"", ""8_NM"", ""9_CM""",IF(M112="tout alignement mauvais", """7_LM"", ""8_NM"", ""9_CM""",IF(M112="tout alignement chaotique", """3_CB"", ""6_CN"", ""9_CM""",IF(M112="tout alignement non loyal", """2_NB"", ""3_CB"", ""5_NN"", ""6_CN"", ""8_NM"", ""9_CM""",""""&amp;VLOOKUP(M112,Alignements!$A$2:$B$10,2, FALSE)&amp;""""))))))</f>
        <v>"9_CM"</v>
      </c>
      <c r="O112" s="297"/>
      <c r="P112" t="str">
        <f t="shared" si="5"/>
        <v>"Chevalier de la mort": {
  "Name" : "Chevalier de la mort",
  "VO" : "Death Knight",
  "Family" : "UNDEAD",
  "Species" : [""],
  "FP" : "17", 
  "Size" : "M",
  "AC" : 20,
  "HP" : 180, 
  "Speed" : "",
  "Alignments" : ["9_CM"],
  "Legendary" : ""}</v>
      </c>
    </row>
    <row r="113" spans="1:16">
      <c r="A113" s="61" t="s">
        <v>4304</v>
      </c>
      <c r="B113" s="298" t="s">
        <v>4305</v>
      </c>
      <c r="C113" s="306">
        <v>8</v>
      </c>
      <c r="D113" s="298" t="s">
        <v>4108</v>
      </c>
      <c r="E113" s="297" t="str">
        <f t="shared" si="3"/>
        <v>Humanoïde</v>
      </c>
      <c r="F113" s="297" t="str">
        <f>VLOOKUP(E113,'Types de monstres'!$A$2:$B$17,2,FALSE)</f>
        <v>HUMANOID</v>
      </c>
      <c r="G113" s="297" t="str">
        <f t="shared" si="4"/>
        <v>toute race</v>
      </c>
      <c r="H113" s="297" t="str">
        <f>IF(OR(G113="",G113="toute race"),"",VLOOKUP(G113,'Types de monstres'!$F$2:$G$49,2,FALSE))</f>
        <v/>
      </c>
      <c r="I113" s="298" t="s">
        <v>4091</v>
      </c>
      <c r="J113" s="300">
        <v>18</v>
      </c>
      <c r="K113" s="300">
        <v>153</v>
      </c>
      <c r="L113" s="298"/>
      <c r="M113" s="298" t="s">
        <v>4109</v>
      </c>
      <c r="N113" s="297" t="str">
        <f>IF(M113="sans alignement","",IF(M113="tout alignement", """1_LB"", ""2_NB"", ""3_CB"", ""4_LN"", ""5_NN"", ""6_CN"", ""7_LM"", ""8_NM"", ""9_CM""",IF(M113="tout alignement non bon", """4_LN"", ""5_NN"", ""6_CN"", ""7_LM"", ""8_NM"", ""9_CM""",IF(M113="tout alignement mauvais", """7_LM"", ""8_NM"", ""9_CM""",IF(M113="tout alignement chaotique", """3_CB"", ""6_CN"", ""9_CM""",IF(M113="tout alignement non loyal", """2_NB"", ""3_CB"", ""5_NN"", ""6_CN"", ""8_NM"", ""9_CM""",""""&amp;VLOOKUP(M113,Alignements!$A$2:$B$10,2, FALSE)&amp;""""))))))</f>
        <v>"1_LB", "2_NB", "3_CB", "4_LN", "5_NN", "6_CN", "7_LM", "8_NM", "9_CM"</v>
      </c>
      <c r="O113" s="298"/>
      <c r="P113" t="str">
        <f t="shared" si="5"/>
        <v>"Chevalier noir": {
  "Name" : "Chevalier noir",
  "VO" : "Blackguard",
  "Family" : "HUMANOID",
  "Species" : [""],
  "FP" : "8", 
  "Size" : "M",
  "AC" : 18,
  "HP" : 153, 
  "Speed" : "",
  "Alignments" : ["1_LB", "2_NB", "3_CB", "4_LN", "5_NN", "6_CN", "7_LM", "8_NM", "9_CM"],
  "Legendary" : ""}</v>
      </c>
    </row>
    <row r="114" spans="1:16" ht="21">
      <c r="A114" s="301" t="s">
        <v>4306</v>
      </c>
      <c r="B114" s="297" t="s">
        <v>4307</v>
      </c>
      <c r="C114" s="305">
        <v>5</v>
      </c>
      <c r="D114" s="297" t="s">
        <v>4108</v>
      </c>
      <c r="E114" s="297" t="str">
        <f t="shared" si="3"/>
        <v>Humanoïde</v>
      </c>
      <c r="F114" s="297" t="str">
        <f>VLOOKUP(E114,'Types de monstres'!$A$2:$B$17,2,FALSE)</f>
        <v>HUMANOID</v>
      </c>
      <c r="G114" s="297" t="str">
        <f t="shared" si="4"/>
        <v>toute race</v>
      </c>
      <c r="H114" s="297" t="str">
        <f>IF(OR(G114="",G114="toute race"),"",VLOOKUP(G114,'Types de monstres'!$F$2:$G$49,2,FALSE))</f>
        <v/>
      </c>
      <c r="I114" s="297" t="s">
        <v>4091</v>
      </c>
      <c r="J114" s="302">
        <v>20</v>
      </c>
      <c r="K114" s="302">
        <v>84</v>
      </c>
      <c r="L114" s="297"/>
      <c r="M114" s="297" t="s">
        <v>4182</v>
      </c>
      <c r="N114" s="297" t="str">
        <f>IF(M114="sans alignement","",IF(M114="tout alignement", """1_LB"", ""2_NB"", ""3_CB"", ""4_LN"", ""5_NN"", ""6_CN"", ""7_LM"", ""8_NM"", ""9_CM""",IF(M114="tout alignement non bon", """4_LN"", ""5_NN"", ""6_CN"", ""7_LM"", ""8_NM"", ""9_CM""",IF(M114="tout alignement mauvais", """7_LM"", ""8_NM"", ""9_CM""",IF(M114="tout alignement chaotique", """3_CB"", ""6_CN"", ""9_CM""",IF(M114="tout alignement non loyal", """2_NB"", ""3_CB"", ""5_NN"", ""6_CN"", ""8_NM"", ""9_CM""",""""&amp;VLOOKUP(M114,Alignements!$A$2:$B$10,2, FALSE)&amp;""""))))))</f>
        <v>"4_LN", "5_NN", "6_CN", "7_LM", "8_NM", "9_CM"</v>
      </c>
      <c r="O114" s="297"/>
      <c r="P114" t="str">
        <f t="shared" si="5"/>
        <v>"Chevalier osseux": {
  "Name" : "Chevalier osseux",
  "VO" : "Bone Knight",
  "Family" : "HUMANOID",
  "Species" : [""],
  "FP" : "5", 
  "Size" : "M",
  "AC" : 20,
  "HP" : 84, 
  "Speed" : "",
  "Alignments" : ["4_LN", "5_NN", "6_CN", "7_LM", "8_NM", "9_CM"],
  "Legendary" : ""}</v>
      </c>
    </row>
    <row r="115" spans="1:16">
      <c r="A115" s="61" t="s">
        <v>4308</v>
      </c>
      <c r="B115" s="298" t="s">
        <v>4309</v>
      </c>
      <c r="C115" s="306">
        <v>0</v>
      </c>
      <c r="D115" s="298" t="s">
        <v>4128</v>
      </c>
      <c r="E115" s="297" t="str">
        <f t="shared" si="3"/>
        <v>Bête</v>
      </c>
      <c r="F115" s="297" t="str">
        <f>VLOOKUP(E115,'Types de monstres'!$A$2:$B$17,2,FALSE)</f>
        <v>BEAST</v>
      </c>
      <c r="G115" s="297" t="str">
        <f t="shared" si="4"/>
        <v/>
      </c>
      <c r="H115" s="297" t="str">
        <f>IF(OR(G115="",G115="toute race"),"",VLOOKUP(G115,'Types de monstres'!$F$2:$G$49,2,FALSE))</f>
        <v/>
      </c>
      <c r="I115" s="298" t="s">
        <v>4091</v>
      </c>
      <c r="J115" s="300">
        <v>10</v>
      </c>
      <c r="K115" s="300">
        <v>4</v>
      </c>
      <c r="L115" s="298"/>
      <c r="M115" s="298" t="s">
        <v>4130</v>
      </c>
      <c r="N115" s="297" t="str">
        <f>IF(M115="sans alignement","",IF(M115="tout alignement", """1_LB"", ""2_NB"", ""3_CB"", ""4_LN"", ""5_NN"", ""6_CN"", ""7_LM"", ""8_NM"", ""9_CM""",IF(M115="tout alignement non bon", """4_LN"", ""5_NN"", ""6_CN"", ""7_LM"", ""8_NM"", ""9_CM""",IF(M115="tout alignement mauvais", """7_LM"", ""8_NM"", ""9_CM""",IF(M115="tout alignement chaotique", """3_CB"", ""6_CN"", ""9_CM""",IF(M115="tout alignement non loyal", """2_NB"", ""3_CB"", ""5_NN"", ""6_CN"", ""8_NM"", ""9_CM""",""""&amp;VLOOKUP(M115,Alignements!$A$2:$B$10,2, FALSE)&amp;""""))))))</f>
        <v/>
      </c>
      <c r="O115" s="298"/>
      <c r="P115" t="str">
        <f t="shared" si="5"/>
        <v>"Chèvre": {
  "Name" : "Chèvre",
  "VO" : "Goat",
  "Family" : "BEAST",
  "Species" : [""],
  "FP" : "0", 
  "Size" : "M",
  "AC" : 10,
  "HP" : 4, 
  "Speed" : "",
  "Alignments" : [],
  "Legendary" : ""}</v>
      </c>
    </row>
    <row r="116" spans="1:16">
      <c r="A116" s="61" t="s">
        <v>4310</v>
      </c>
      <c r="B116" s="297" t="s">
        <v>4311</v>
      </c>
      <c r="C116" s="305" t="s">
        <v>5620</v>
      </c>
      <c r="D116" s="297" t="s">
        <v>4128</v>
      </c>
      <c r="E116" s="297" t="str">
        <f t="shared" si="3"/>
        <v>Bête</v>
      </c>
      <c r="F116" s="297" t="str">
        <f>VLOOKUP(E116,'Types de monstres'!$A$2:$B$17,2,FALSE)</f>
        <v>BEAST</v>
      </c>
      <c r="G116" s="297" t="str">
        <f t="shared" si="4"/>
        <v/>
      </c>
      <c r="H116" s="297" t="str">
        <f>IF(OR(G116="",G116="toute race"),"",VLOOKUP(G116,'Types de monstres'!$F$2:$G$49,2,FALSE))</f>
        <v/>
      </c>
      <c r="I116" s="297" t="s">
        <v>4112</v>
      </c>
      <c r="J116" s="302">
        <v>11</v>
      </c>
      <c r="K116" s="302">
        <v>19</v>
      </c>
      <c r="L116" s="297"/>
      <c r="M116" s="297" t="s">
        <v>4130</v>
      </c>
      <c r="N116" s="297" t="str">
        <f>IF(M116="sans alignement","",IF(M116="tout alignement", """1_LB"", ""2_NB"", ""3_CB"", ""4_LN"", ""5_NN"", ""6_CN"", ""7_LM"", ""8_NM"", ""9_CM""",IF(M116="tout alignement non bon", """4_LN"", ""5_NN"", ""6_CN"", ""7_LM"", ""8_NM"", ""9_CM""",IF(M116="tout alignement mauvais", """7_LM"", ""8_NM"", ""9_CM""",IF(M116="tout alignement chaotique", """3_CB"", ""6_CN"", ""9_CM""",IF(M116="tout alignement non loyal", """2_NB"", ""3_CB"", ""5_NN"", ""6_CN"", ""8_NM"", ""9_CM""",""""&amp;VLOOKUP(M116,Alignements!$A$2:$B$10,2, FALSE)&amp;""""))))))</f>
        <v/>
      </c>
      <c r="O116" s="297"/>
      <c r="P116" t="str">
        <f t="shared" si="5"/>
        <v>"Chèvre géante": {
  "Name" : "Chèvre géante",
  "VO" : "Giant Goat",
  "Family" : "BEAST",
  "Species" : [""],
  "FP" : "1/2", 
  "Size" : "G",
  "AC" : 11,
  "HP" : 19, 
  "Speed" : "",
  "Alignments" : [],
  "Legendary" : ""}</v>
      </c>
    </row>
    <row r="117" spans="1:16" ht="21">
      <c r="A117" s="61" t="s">
        <v>4312</v>
      </c>
      <c r="B117" s="298" t="s">
        <v>4313</v>
      </c>
      <c r="C117" s="306" t="s">
        <v>5620</v>
      </c>
      <c r="D117" s="298" t="s">
        <v>4128</v>
      </c>
      <c r="E117" s="297" t="str">
        <f t="shared" si="3"/>
        <v>Bête</v>
      </c>
      <c r="F117" s="297" t="str">
        <f>VLOOKUP(E117,'Types de monstres'!$A$2:$B$17,2,FALSE)</f>
        <v>BEAST</v>
      </c>
      <c r="G117" s="297" t="str">
        <f t="shared" si="4"/>
        <v/>
      </c>
      <c r="H117" s="297" t="str">
        <f>IF(OR(G117="",G117="toute race"),"",VLOOKUP(G117,'Types de monstres'!$F$2:$G$49,2,FALSE))</f>
        <v/>
      </c>
      <c r="I117" s="298" t="s">
        <v>4112</v>
      </c>
      <c r="J117" s="300">
        <v>11</v>
      </c>
      <c r="K117" s="300">
        <v>19</v>
      </c>
      <c r="L117" s="298"/>
      <c r="M117" s="298" t="s">
        <v>4130</v>
      </c>
      <c r="N117" s="297" t="str">
        <f>IF(M117="sans alignement","",IF(M117="tout alignement", """1_LB"", ""2_NB"", ""3_CB"", ""4_LN"", ""5_NN"", ""6_CN"", ""7_LM"", ""8_NM"", ""9_CM""",IF(M117="tout alignement non bon", """4_LN"", ""5_NN"", ""6_CN"", ""7_LM"", ""8_NM"", ""9_CM""",IF(M117="tout alignement mauvais", """7_LM"", ""8_NM"", ""9_CM""",IF(M117="tout alignement chaotique", """3_CB"", ""6_CN"", ""9_CM""",IF(M117="tout alignement non loyal", """2_NB"", ""3_CB"", ""5_NN"", ""6_CN"", ""8_NM"", ""9_CM""",""""&amp;VLOOKUP(M117,Alignements!$A$2:$B$10,2, FALSE)&amp;""""))))))</f>
        <v/>
      </c>
      <c r="O117" s="298"/>
      <c r="P117" t="str">
        <f t="shared" si="5"/>
        <v>"Chèvre géante à deux têtes": {
  "Name" : "Chèvre géante à deux têtes",
  "VO" : "Giant Two-Headed Goat",
  "Family" : "BEAST",
  "Species" : [""],
  "FP" : "1/2", 
  "Size" : "G",
  "AC" : 11,
  "HP" : 19, 
  "Speed" : "",
  "Alignments" : [],
  "Legendary" : ""}</v>
      </c>
    </row>
    <row r="118" spans="1:16">
      <c r="A118" s="61" t="s">
        <v>4314</v>
      </c>
      <c r="B118" s="297" t="s">
        <v>4315</v>
      </c>
      <c r="C118" s="305">
        <v>1</v>
      </c>
      <c r="D118" s="297" t="s">
        <v>4121</v>
      </c>
      <c r="E118" s="297" t="str">
        <f t="shared" si="3"/>
        <v>Créature monstrueuse</v>
      </c>
      <c r="F118" s="297" t="str">
        <f>VLOOKUP(E118,'Types de monstres'!$A$2:$B$17,2,FALSE)</f>
        <v>MONSTROUS_CREATURE</v>
      </c>
      <c r="G118" s="297" t="str">
        <f t="shared" si="4"/>
        <v/>
      </c>
      <c r="H118" s="297" t="str">
        <f>IF(OR(G118="",G118="toute race"),"",VLOOKUP(G118,'Types de monstres'!$F$2:$G$49,2,FALSE))</f>
        <v/>
      </c>
      <c r="I118" s="297" t="s">
        <v>4091</v>
      </c>
      <c r="J118" s="302">
        <v>12</v>
      </c>
      <c r="K118" s="302">
        <v>39</v>
      </c>
      <c r="L118" s="297"/>
      <c r="M118" s="297" t="s">
        <v>4118</v>
      </c>
      <c r="N118" s="297" t="str">
        <f>IF(M118="sans alignement","",IF(M118="tout alignement", """1_LB"", ""2_NB"", ""3_CB"", ""4_LN"", ""5_NN"", ""6_CN"", ""7_LM"", ""8_NM"", ""9_CM""",IF(M118="tout alignement non bon", """4_LN"", ""5_NN"", ""6_CN"", ""7_LM"", ""8_NM"", ""9_CM""",IF(M118="tout alignement mauvais", """7_LM"", ""8_NM"", ""9_CM""",IF(M118="tout alignement chaotique", """3_CB"", ""6_CN"", ""9_CM""",IF(M118="tout alignement non loyal", """2_NB"", ""3_CB"", ""5_NN"", ""6_CN"", ""8_NM"", ""9_CM""",""""&amp;VLOOKUP(M118,Alignements!$A$2:$B$10,2, FALSE)&amp;""""))))))</f>
        <v>"8_NM"</v>
      </c>
      <c r="O118" s="297"/>
      <c r="P118" t="str">
        <f t="shared" si="5"/>
        <v>"Chien du trépas": {
  "Name" : "Chien du trépas",
  "VO" : "Death Dog",
  "Family" : "MONSTROUS_CREATURE",
  "Species" : [""],
  "FP" : "1", 
  "Size" : "M",
  "AC" : 12,
  "HP" : 39, 
  "Speed" : "",
  "Alignments" : ["8_NM"],
  "Legendary" : ""}</v>
      </c>
    </row>
    <row r="119" spans="1:16">
      <c r="A119" s="61" t="s">
        <v>4316</v>
      </c>
      <c r="B119" s="298" t="s">
        <v>4317</v>
      </c>
      <c r="C119" s="306" t="s">
        <v>5618</v>
      </c>
      <c r="D119" s="298" t="s">
        <v>4253</v>
      </c>
      <c r="E119" s="297" t="str">
        <f t="shared" si="3"/>
        <v>Fée</v>
      </c>
      <c r="F119" s="297" t="str">
        <f>VLOOKUP(E119,'Types de monstres'!$A$2:$B$17,2,FALSE)</f>
        <v>FAIRY</v>
      </c>
      <c r="G119" s="297" t="str">
        <f t="shared" si="4"/>
        <v/>
      </c>
      <c r="H119" s="297" t="str">
        <f>IF(OR(G119="",G119="toute race"),"",VLOOKUP(G119,'Types de monstres'!$F$2:$G$49,2,FALSE))</f>
        <v/>
      </c>
      <c r="I119" s="298" t="s">
        <v>4091</v>
      </c>
      <c r="J119" s="300">
        <v>13</v>
      </c>
      <c r="K119" s="300">
        <v>22</v>
      </c>
      <c r="L119" s="298"/>
      <c r="M119" s="298" t="s">
        <v>4318</v>
      </c>
      <c r="N119" s="297" t="str">
        <f>IF(M119="sans alignement","",IF(M119="tout alignement", """1_LB"", ""2_NB"", ""3_CB"", ""4_LN"", ""5_NN"", ""6_CN"", ""7_LM"", ""8_NM"", ""9_CM""",IF(M119="tout alignement non bon", """4_LN"", ""5_NN"", ""6_CN"", ""7_LM"", ""8_NM"", ""9_CM""",IF(M119="tout alignement mauvais", """7_LM"", ""8_NM"", ""9_CM""",IF(M119="tout alignement chaotique", """3_CB"", ""6_CN"", ""9_CM""",IF(M119="tout alignement non loyal", """2_NB"", ""3_CB"", ""5_NN"", ""6_CN"", ""8_NM"", ""9_CM""",""""&amp;VLOOKUP(M119,Alignements!$A$2:$B$10,2, FALSE)&amp;""""))))))</f>
        <v>"1_LB"</v>
      </c>
      <c r="O119" s="298"/>
      <c r="P119" t="str">
        <f t="shared" si="5"/>
        <v>"Chien esquiveur": {
  "Name" : "Chien esquiveur",
  "VO" : "Blink Dog",
  "Family" : "FAIRY",
  "Species" : [""],
  "FP" : "1/4", 
  "Size" : "M",
  "AC" : 13,
  "HP" : 22, 
  "Speed" : "",
  "Alignments" : ["1_LB"],
  "Legendary" : ""}</v>
      </c>
    </row>
    <row r="120" spans="1:16">
      <c r="A120" s="61" t="s">
        <v>4319</v>
      </c>
      <c r="B120" s="297" t="s">
        <v>4320</v>
      </c>
      <c r="C120" s="305" t="s">
        <v>5619</v>
      </c>
      <c r="D120" s="297" t="s">
        <v>4128</v>
      </c>
      <c r="E120" s="297" t="str">
        <f t="shared" si="3"/>
        <v>Bête</v>
      </c>
      <c r="F120" s="297" t="str">
        <f>VLOOKUP(E120,'Types de monstres'!$A$2:$B$17,2,FALSE)</f>
        <v>BEAST</v>
      </c>
      <c r="G120" s="297" t="str">
        <f t="shared" si="4"/>
        <v/>
      </c>
      <c r="H120" s="297" t="str">
        <f>IF(OR(G120="",G120="toute race"),"",VLOOKUP(G120,'Types de monstres'!$F$2:$G$49,2,FALSE))</f>
        <v/>
      </c>
      <c r="I120" s="297" t="s">
        <v>4091</v>
      </c>
      <c r="J120" s="302">
        <v>12</v>
      </c>
      <c r="K120" s="302">
        <v>5</v>
      </c>
      <c r="L120" s="297"/>
      <c r="M120" s="297" t="s">
        <v>4130</v>
      </c>
      <c r="N120" s="297" t="str">
        <f>IF(M120="sans alignement","",IF(M120="tout alignement", """1_LB"", ""2_NB"", ""3_CB"", ""4_LN"", ""5_NN"", ""6_CN"", ""7_LM"", ""8_NM"", ""9_CM""",IF(M120="tout alignement non bon", """4_LN"", ""5_NN"", ""6_CN"", ""7_LM"", ""8_NM"", ""9_CM""",IF(M120="tout alignement mauvais", """7_LM"", ""8_NM"", ""9_CM""",IF(M120="tout alignement chaotique", """3_CB"", ""6_CN"", ""9_CM""",IF(M120="tout alignement non loyal", """2_NB"", ""3_CB"", ""5_NN"", ""6_CN"", ""8_NM"", ""9_CM""",""""&amp;VLOOKUP(M120,Alignements!$A$2:$B$10,2, FALSE)&amp;""""))))))</f>
        <v/>
      </c>
      <c r="O120" s="297"/>
      <c r="P120" t="str">
        <f t="shared" si="5"/>
        <v>"Chien sauvage": {
  "Name" : "Chien sauvage",
  "VO" : "Wild Dog",
  "Family" : "BEAST",
  "Species" : [""],
  "FP" : "1/8", 
  "Size" : "M",
  "AC" : 12,
  "HP" : 5, 
  "Speed" : "",
  "Alignments" : [],
  "Legendary" : ""}</v>
      </c>
    </row>
    <row r="121" spans="1:16">
      <c r="A121" s="61" t="s">
        <v>4321</v>
      </c>
      <c r="B121" s="298" t="s">
        <v>4322</v>
      </c>
      <c r="C121" s="306">
        <v>1</v>
      </c>
      <c r="D121" s="298" t="s">
        <v>4128</v>
      </c>
      <c r="E121" s="297" t="str">
        <f t="shared" si="3"/>
        <v>Bête</v>
      </c>
      <c r="F121" s="297" t="str">
        <f>VLOOKUP(E121,'Types de monstres'!$A$2:$B$17,2,FALSE)</f>
        <v>BEAST</v>
      </c>
      <c r="G121" s="297" t="str">
        <f t="shared" si="4"/>
        <v/>
      </c>
      <c r="H121" s="297" t="str">
        <f>IF(OR(G121="",G121="toute race"),"",VLOOKUP(G121,'Types de monstres'!$F$2:$G$49,2,FALSE))</f>
        <v/>
      </c>
      <c r="I121" s="298" t="s">
        <v>4112</v>
      </c>
      <c r="J121" s="300">
        <v>12</v>
      </c>
      <c r="K121" s="300">
        <v>26</v>
      </c>
      <c r="L121" s="298"/>
      <c r="M121" s="298" t="s">
        <v>4130</v>
      </c>
      <c r="N121" s="297" t="str">
        <f>IF(M121="sans alignement","",IF(M121="tout alignement", """1_LB"", ""2_NB"", ""3_CB"", ""4_LN"", ""5_NN"", ""6_CN"", ""7_LM"", ""8_NM"", ""9_CM""",IF(M121="tout alignement non bon", """4_LN"", ""5_NN"", ""6_CN"", ""7_LM"", ""8_NM"", ""9_CM""",IF(M121="tout alignement mauvais", """7_LM"", ""8_NM"", ""9_CM""",IF(M121="tout alignement chaotique", """3_CB"", ""6_CN"", ""9_CM""",IF(M121="tout alignement non loyal", """2_NB"", ""3_CB"", ""5_NN"", ""6_CN"", ""8_NM"", ""9_CM""",""""&amp;VLOOKUP(M121,Alignements!$A$2:$B$10,2, FALSE)&amp;""""))))))</f>
        <v/>
      </c>
      <c r="O121" s="298"/>
      <c r="P121" t="str">
        <f t="shared" si="5"/>
        <v>"Chien sauvage dominant": {
  "Name" : "Chien sauvage dominant",
  "VO" : "Wild Dog Alpha",
  "Family" : "BEAST",
  "Species" : [""],
  "FP" : "1", 
  "Size" : "G",
  "AC" : 12,
  "HP" : 26, 
  "Speed" : "",
  "Alignments" : [],
  "Legendary" : ""}</v>
      </c>
    </row>
    <row r="122" spans="1:16">
      <c r="A122" s="61" t="s">
        <v>4323</v>
      </c>
      <c r="B122" s="297" t="s">
        <v>4324</v>
      </c>
      <c r="C122" s="305">
        <v>6</v>
      </c>
      <c r="D122" s="297" t="s">
        <v>4121</v>
      </c>
      <c r="E122" s="297" t="str">
        <f t="shared" si="3"/>
        <v>Créature monstrueuse</v>
      </c>
      <c r="F122" s="297" t="str">
        <f>VLOOKUP(E122,'Types de monstres'!$A$2:$B$17,2,FALSE)</f>
        <v>MONSTROUS_CREATURE</v>
      </c>
      <c r="G122" s="297" t="str">
        <f t="shared" si="4"/>
        <v/>
      </c>
      <c r="H122" s="297" t="str">
        <f>IF(OR(G122="",G122="toute race"),"",VLOOKUP(G122,'Types de monstres'!$F$2:$G$49,2,FALSE))</f>
        <v/>
      </c>
      <c r="I122" s="297" t="s">
        <v>4112</v>
      </c>
      <c r="J122" s="302">
        <v>14</v>
      </c>
      <c r="K122" s="302">
        <v>114</v>
      </c>
      <c r="L122" s="297" t="s">
        <v>4092</v>
      </c>
      <c r="M122" s="297" t="s">
        <v>4137</v>
      </c>
      <c r="N122" s="297" t="str">
        <f>IF(M122="sans alignement","",IF(M122="tout alignement", """1_LB"", ""2_NB"", ""3_CB"", ""4_LN"", ""5_NN"", ""6_CN"", ""7_LM"", ""8_NM"", ""9_CM""",IF(M122="tout alignement non bon", """4_LN"", ""5_NN"", ""6_CN"", ""7_LM"", ""8_NM"", ""9_CM""",IF(M122="tout alignement mauvais", """7_LM"", ""8_NM"", ""9_CM""",IF(M122="tout alignement chaotique", """3_CB"", ""6_CN"", ""9_CM""",IF(M122="tout alignement non loyal", """2_NB"", ""3_CB"", ""5_NN"", ""6_CN"", ""8_NM"", ""9_CM""",""""&amp;VLOOKUP(M122,Alignements!$A$2:$B$10,2, FALSE)&amp;""""))))))</f>
        <v>"9_CM"</v>
      </c>
      <c r="O122" s="297"/>
      <c r="P122" t="str">
        <f t="shared" si="5"/>
        <v>"Chimère": {
  "Name" : "Chimère",
  "VO" : "Chimera",
  "Family" : "MONSTROUS_CREATURE",
  "Species" : [""],
  "FP" : "6", 
  "Size" : "G",
  "AC" : 14,
  "HP" : 114, 
  "Speed" : "vol",
  "Alignments" : ["9_CM"],
  "Legendary" : ""}</v>
      </c>
    </row>
    <row r="123" spans="1:16">
      <c r="A123" s="61" t="s">
        <v>4325</v>
      </c>
      <c r="B123" s="298" t="s">
        <v>4325</v>
      </c>
      <c r="C123" s="306" t="s">
        <v>5620</v>
      </c>
      <c r="D123" s="298" t="s">
        <v>4121</v>
      </c>
      <c r="E123" s="297" t="str">
        <f t="shared" si="3"/>
        <v>Créature monstrueuse</v>
      </c>
      <c r="F123" s="297" t="str">
        <f>VLOOKUP(E123,'Types de monstres'!$A$2:$B$17,2,FALSE)</f>
        <v>MONSTROUS_CREATURE</v>
      </c>
      <c r="G123" s="297" t="str">
        <f t="shared" si="4"/>
        <v/>
      </c>
      <c r="H123" s="297" t="str">
        <f>IF(OR(G123="",G123="toute race"),"",VLOOKUP(G123,'Types de monstres'!$F$2:$G$49,2,FALSE))</f>
        <v/>
      </c>
      <c r="I123" s="298" t="s">
        <v>4129</v>
      </c>
      <c r="J123" s="300">
        <v>14</v>
      </c>
      <c r="K123" s="300">
        <v>18</v>
      </c>
      <c r="L123" s="298"/>
      <c r="M123" s="298" t="s">
        <v>4137</v>
      </c>
      <c r="N123" s="297" t="str">
        <f>IF(M123="sans alignement","",IF(M123="tout alignement", """1_LB"", ""2_NB"", ""3_CB"", ""4_LN"", ""5_NN"", ""6_CN"", ""7_LM"", ""8_NM"", ""9_CM""",IF(M123="tout alignement non bon", """4_LN"", ""5_NN"", ""6_CN"", ""7_LM"", ""8_NM"", ""9_CM""",IF(M123="tout alignement mauvais", """7_LM"", ""8_NM"", ""9_CM""",IF(M123="tout alignement chaotique", """3_CB"", ""6_CN"", ""9_CM""",IF(M123="tout alignement non loyal", """2_NB"", ""3_CB"", ""5_NN"", ""6_CN"", ""8_NM"", ""9_CM""",""""&amp;VLOOKUP(M123,Alignements!$A$2:$B$10,2, FALSE)&amp;""""))))))</f>
        <v>"9_CM"</v>
      </c>
      <c r="O123" s="298"/>
      <c r="P123" t="str">
        <f t="shared" si="5"/>
        <v>"Chitine": {
  "Name" : "Chitine",
  "VO" : "Chitine",
  "Family" : "MONSTROUS_CREATURE",
  "Species" : [""],
  "FP" : "1/2", 
  "Size" : "P",
  "AC" : 14,
  "HP" : 18, 
  "Speed" : "",
  "Alignments" : ["9_CM"],
  "Legendary" : ""}</v>
      </c>
    </row>
    <row r="124" spans="1:16">
      <c r="A124" s="61" t="s">
        <v>4326</v>
      </c>
      <c r="B124" s="297" t="s">
        <v>4326</v>
      </c>
      <c r="C124" s="305">
        <v>3</v>
      </c>
      <c r="D124" s="297" t="s">
        <v>4121</v>
      </c>
      <c r="E124" s="297" t="str">
        <f t="shared" si="3"/>
        <v>Créature monstrueuse</v>
      </c>
      <c r="F124" s="297" t="str">
        <f>VLOOKUP(E124,'Types de monstres'!$A$2:$B$17,2,FALSE)</f>
        <v>MONSTROUS_CREATURE</v>
      </c>
      <c r="G124" s="297" t="str">
        <f t="shared" si="4"/>
        <v/>
      </c>
      <c r="H124" s="297" t="str">
        <f>IF(OR(G124="",G124="toute race"),"",VLOOKUP(G124,'Types de monstres'!$F$2:$G$49,2,FALSE))</f>
        <v/>
      </c>
      <c r="I124" s="297" t="s">
        <v>4091</v>
      </c>
      <c r="J124" s="302">
        <v>15</v>
      </c>
      <c r="K124" s="302">
        <v>66</v>
      </c>
      <c r="L124" s="297"/>
      <c r="M124" s="297" t="s">
        <v>4137</v>
      </c>
      <c r="N124" s="297" t="str">
        <f>IF(M124="sans alignement","",IF(M124="tout alignement", """1_LB"", ""2_NB"", ""3_CB"", ""4_LN"", ""5_NN"", ""6_CN"", ""7_LM"", ""8_NM"", ""9_CM""",IF(M124="tout alignement non bon", """4_LN"", ""5_NN"", ""6_CN"", ""7_LM"", ""8_NM"", ""9_CM""",IF(M124="tout alignement mauvais", """7_LM"", ""8_NM"", ""9_CM""",IF(M124="tout alignement chaotique", """3_CB"", ""6_CN"", ""9_CM""",IF(M124="tout alignement non loyal", """2_NB"", ""3_CB"", ""5_NN"", ""6_CN"", ""8_NM"", ""9_CM""",""""&amp;VLOOKUP(M124,Alignements!$A$2:$B$10,2, FALSE)&amp;""""))))))</f>
        <v>"9_CM"</v>
      </c>
      <c r="O124" s="297"/>
      <c r="P124" t="str">
        <f t="shared" si="5"/>
        <v>"Choldrith": {
  "Name" : "Choldrith",
  "VO" : "Choldrith",
  "Family" : "MONSTROUS_CREATURE",
  "Species" : [""],
  "FP" : "3", 
  "Size" : "M",
  "AC" : 15,
  "HP" : 66, 
  "Speed" : "",
  "Alignments" : ["9_CM"],
  "Legendary" : ""}</v>
      </c>
    </row>
    <row r="125" spans="1:16">
      <c r="A125" s="61" t="s">
        <v>4327</v>
      </c>
      <c r="B125" s="298" t="s">
        <v>4328</v>
      </c>
      <c r="C125" s="306">
        <v>0</v>
      </c>
      <c r="D125" s="298" t="s">
        <v>4128</v>
      </c>
      <c r="E125" s="297" t="str">
        <f t="shared" si="3"/>
        <v>Bête</v>
      </c>
      <c r="F125" s="297" t="str">
        <f>VLOOKUP(E125,'Types de monstres'!$A$2:$B$17,2,FALSE)</f>
        <v>BEAST</v>
      </c>
      <c r="G125" s="297" t="str">
        <f t="shared" si="4"/>
        <v/>
      </c>
      <c r="H125" s="297" t="str">
        <f>IF(OR(G125="",G125="toute race"),"",VLOOKUP(G125,'Types de monstres'!$F$2:$G$49,2,FALSE))</f>
        <v/>
      </c>
      <c r="I125" s="298" t="s">
        <v>4154</v>
      </c>
      <c r="J125" s="300">
        <v>11</v>
      </c>
      <c r="K125" s="300">
        <v>1</v>
      </c>
      <c r="L125" s="298" t="s">
        <v>4092</v>
      </c>
      <c r="M125" s="298" t="s">
        <v>4130</v>
      </c>
      <c r="N125" s="297" t="str">
        <f>IF(M125="sans alignement","",IF(M125="tout alignement", """1_LB"", ""2_NB"", ""3_CB"", ""4_LN"", ""5_NN"", ""6_CN"", ""7_LM"", ""8_NM"", ""9_CM""",IF(M125="tout alignement non bon", """4_LN"", ""5_NN"", ""6_CN"", ""7_LM"", ""8_NM"", ""9_CM""",IF(M125="tout alignement mauvais", """7_LM"", ""8_NM"", ""9_CM""",IF(M125="tout alignement chaotique", """3_CB"", ""6_CN"", ""9_CM""",IF(M125="tout alignement non loyal", """2_NB"", ""3_CB"", ""5_NN"", ""6_CN"", ""8_NM"", ""9_CM""",""""&amp;VLOOKUP(M125,Alignements!$A$2:$B$10,2, FALSE)&amp;""""))))))</f>
        <v/>
      </c>
      <c r="O125" s="298"/>
      <c r="P125" t="str">
        <f t="shared" si="5"/>
        <v>"Chouette": {
  "Name" : "Chouette",
  "VO" : "Owl",
  "Family" : "BEAST",
  "Species" : [""],
  "FP" : "0", 
  "Size" : "TP",
  "AC" : 11,
  "HP" : 1, 
  "Speed" : "vol",
  "Alignments" : [],
  "Legendary" : ""}</v>
      </c>
    </row>
    <row r="126" spans="1:16">
      <c r="A126" s="61" t="s">
        <v>4329</v>
      </c>
      <c r="B126" s="297" t="s">
        <v>4330</v>
      </c>
      <c r="C126" s="305" t="s">
        <v>5618</v>
      </c>
      <c r="D126" s="297" t="s">
        <v>4128</v>
      </c>
      <c r="E126" s="297" t="str">
        <f t="shared" si="3"/>
        <v>Bête</v>
      </c>
      <c r="F126" s="297" t="str">
        <f>VLOOKUP(E126,'Types de monstres'!$A$2:$B$17,2,FALSE)</f>
        <v>BEAST</v>
      </c>
      <c r="G126" s="297" t="str">
        <f t="shared" si="4"/>
        <v/>
      </c>
      <c r="H126" s="297" t="str">
        <f>IF(OR(G126="",G126="toute race"),"",VLOOKUP(G126,'Types de monstres'!$F$2:$G$49,2,FALSE))</f>
        <v/>
      </c>
      <c r="I126" s="297" t="s">
        <v>4112</v>
      </c>
      <c r="J126" s="302">
        <v>12</v>
      </c>
      <c r="K126" s="302">
        <v>19</v>
      </c>
      <c r="L126" s="297" t="s">
        <v>4092</v>
      </c>
      <c r="M126" s="297" t="s">
        <v>4193</v>
      </c>
      <c r="N126" s="297" t="str">
        <f>IF(M126="sans alignement","",IF(M126="tout alignement", """1_LB"", ""2_NB"", ""3_CB"", ""4_LN"", ""5_NN"", ""6_CN"", ""7_LM"", ""8_NM"", ""9_CM""",IF(M126="tout alignement non bon", """4_LN"", ""5_NN"", ""6_CN"", ""7_LM"", ""8_NM"", ""9_CM""",IF(M126="tout alignement mauvais", """7_LM"", ""8_NM"", ""9_CM""",IF(M126="tout alignement chaotique", """3_CB"", ""6_CN"", ""9_CM""",IF(M126="tout alignement non loyal", """2_NB"", ""3_CB"", ""5_NN"", ""6_CN"", ""8_NM"", ""9_CM""",""""&amp;VLOOKUP(M126,Alignements!$A$2:$B$10,2, FALSE)&amp;""""))))))</f>
        <v>"5_NN"</v>
      </c>
      <c r="O126" s="297"/>
      <c r="P126" t="str">
        <f t="shared" si="5"/>
        <v>"Chouette géante": {
  "Name" : "Chouette géante",
  "VO" : "Giant Owl",
  "Family" : "BEAST",
  "Species" : [""],
  "FP" : "1/4", 
  "Size" : "G",
  "AC" : 12,
  "HP" : 19, 
  "Speed" : "vol",
  "Alignments" : ["5_NN"],
  "Legendary" : ""}</v>
      </c>
    </row>
    <row r="127" spans="1:16">
      <c r="A127" s="61" t="s">
        <v>4331</v>
      </c>
      <c r="B127" s="298" t="s">
        <v>4331</v>
      </c>
      <c r="C127" s="306">
        <v>4</v>
      </c>
      <c r="D127" s="298" t="s">
        <v>4111</v>
      </c>
      <c r="E127" s="297" t="str">
        <f t="shared" si="3"/>
        <v>Aberration</v>
      </c>
      <c r="F127" s="297" t="str">
        <f>VLOOKUP(E127,'Types de monstres'!$A$2:$B$17,2,FALSE)</f>
        <v>ABERRATION</v>
      </c>
      <c r="G127" s="297" t="str">
        <f t="shared" si="4"/>
        <v/>
      </c>
      <c r="H127" s="297" t="str">
        <f>IF(OR(G127="",G127="toute race"),"",VLOOKUP(G127,'Types de monstres'!$F$2:$G$49,2,FALSE))</f>
        <v/>
      </c>
      <c r="I127" s="298" t="s">
        <v>4112</v>
      </c>
      <c r="J127" s="300">
        <v>16</v>
      </c>
      <c r="K127" s="300">
        <v>93</v>
      </c>
      <c r="L127" s="298" t="s">
        <v>4113</v>
      </c>
      <c r="M127" s="298" t="s">
        <v>4137</v>
      </c>
      <c r="N127" s="297" t="str">
        <f>IF(M127="sans alignement","",IF(M127="tout alignement", """1_LB"", ""2_NB"", ""3_CB"", ""4_LN"", ""5_NN"", ""6_CN"", ""7_LM"", ""8_NM"", ""9_CM""",IF(M127="tout alignement non bon", """4_LN"", ""5_NN"", ""6_CN"", ""7_LM"", ""8_NM"", ""9_CM""",IF(M127="tout alignement mauvais", """7_LM"", ""8_NM"", ""9_CM""",IF(M127="tout alignement chaotique", """3_CB"", ""6_CN"", ""9_CM""",IF(M127="tout alignement non loyal", """2_NB"", ""3_CB"", ""5_NN"", ""6_CN"", ""8_NM"", ""9_CM""",""""&amp;VLOOKUP(M127,Alignements!$A$2:$B$10,2, FALSE)&amp;""""))))))</f>
        <v>"9_CM"</v>
      </c>
      <c r="O127" s="298"/>
      <c r="P127" t="str">
        <f t="shared" si="5"/>
        <v>"Chuul": {
  "Name" : "Chuul",
  "VO" : "Chuul",
  "Family" : "ABERRATION",
  "Species" : [""],
  "FP" : "4", 
  "Size" : "G",
  "AC" : 16,
  "HP" : 93, 
  "Speed" : "nage",
  "Alignments" : ["9_CM"],
  "Legendary" : ""}</v>
      </c>
    </row>
    <row r="128" spans="1:16">
      <c r="A128" s="61" t="s">
        <v>4332</v>
      </c>
      <c r="B128" s="297" t="s">
        <v>4332</v>
      </c>
      <c r="C128" s="305" t="s">
        <v>5620</v>
      </c>
      <c r="D128" s="297" t="s">
        <v>4121</v>
      </c>
      <c r="E128" s="297" t="str">
        <f t="shared" si="3"/>
        <v>Créature monstrueuse</v>
      </c>
      <c r="F128" s="297" t="str">
        <f>VLOOKUP(E128,'Types de monstres'!$A$2:$B$17,2,FALSE)</f>
        <v>MONSTROUS_CREATURE</v>
      </c>
      <c r="G128" s="297" t="str">
        <f t="shared" si="4"/>
        <v/>
      </c>
      <c r="H128" s="297" t="str">
        <f>IF(OR(G128="",G128="toute race"),"",VLOOKUP(G128,'Types de monstres'!$F$2:$G$49,2,FALSE))</f>
        <v/>
      </c>
      <c r="I128" s="297" t="s">
        <v>4129</v>
      </c>
      <c r="J128" s="302">
        <v>11</v>
      </c>
      <c r="K128" s="302">
        <v>27</v>
      </c>
      <c r="L128" s="297" t="s">
        <v>4092</v>
      </c>
      <c r="M128" s="297" t="s">
        <v>4130</v>
      </c>
      <c r="N128" s="297" t="str">
        <f>IF(M128="sans alignement","",IF(M128="tout alignement", """1_LB"", ""2_NB"", ""3_CB"", ""4_LN"", ""5_NN"", ""6_CN"", ""7_LM"", ""8_NM"", ""9_CM""",IF(M128="tout alignement non bon", """4_LN"", ""5_NN"", ""6_CN"", ""7_LM"", ""8_NM"", ""9_CM""",IF(M128="tout alignement mauvais", """7_LM"", ""8_NM"", ""9_CM""",IF(M128="tout alignement chaotique", """3_CB"", ""6_CN"", ""9_CM""",IF(M128="tout alignement non loyal", """2_NB"", ""3_CB"", ""5_NN"", ""6_CN"", ""8_NM"", ""9_CM""",""""&amp;VLOOKUP(M128,Alignements!$A$2:$B$10,2, FALSE)&amp;""""))))))</f>
        <v/>
      </c>
      <c r="O128" s="297"/>
      <c r="P128" t="str">
        <f t="shared" si="5"/>
        <v>"Cockatrice": {
  "Name" : "Cockatrice",
  "VO" : "Cockatrice",
  "Family" : "MONSTROUS_CREATURE",
  "Species" : [""],
  "FP" : "1/2", 
  "Size" : "P",
  "AC" : 11,
  "HP" : 27, 
  "Speed" : "vol",
  "Alignments" : [],
  "Legendary" : ""}</v>
      </c>
    </row>
    <row r="129" spans="1:16">
      <c r="A129" s="61" t="s">
        <v>4333</v>
      </c>
      <c r="B129" s="298" t="s">
        <v>4334</v>
      </c>
      <c r="C129" s="306">
        <v>0</v>
      </c>
      <c r="D129" s="298" t="s">
        <v>4108</v>
      </c>
      <c r="E129" s="297" t="str">
        <f t="shared" si="3"/>
        <v>Humanoïde</v>
      </c>
      <c r="F129" s="297" t="str">
        <f>VLOOKUP(E129,'Types de monstres'!$A$2:$B$17,2,FALSE)</f>
        <v>HUMANOID</v>
      </c>
      <c r="G129" s="297" t="str">
        <f t="shared" si="4"/>
        <v>toute race</v>
      </c>
      <c r="H129" s="297" t="str">
        <f>IF(OR(G129="",G129="toute race"),"",VLOOKUP(G129,'Types de monstres'!$F$2:$G$49,2,FALSE))</f>
        <v/>
      </c>
      <c r="I129" s="298" t="s">
        <v>4091</v>
      </c>
      <c r="J129" s="300">
        <v>16</v>
      </c>
      <c r="K129" s="300">
        <v>13</v>
      </c>
      <c r="L129" s="298"/>
      <c r="M129" s="298" t="s">
        <v>4109</v>
      </c>
      <c r="N129" s="297" t="str">
        <f>IF(M129="sans alignement","",IF(M129="tout alignement", """1_LB"", ""2_NB"", ""3_CB"", ""4_LN"", ""5_NN"", ""6_CN"", ""7_LM"", ""8_NM"", ""9_CM""",IF(M129="tout alignement non bon", """4_LN"", ""5_NN"", ""6_CN"", ""7_LM"", ""8_NM"", ""9_CM""",IF(M129="tout alignement mauvais", """7_LM"", ""8_NM"", ""9_CM""",IF(M129="tout alignement chaotique", """3_CB"", ""6_CN"", ""9_CM""",IF(M129="tout alignement non loyal", """2_NB"", ""3_CB"", ""5_NN"", ""6_CN"", ""8_NM"", ""9_CM""",""""&amp;VLOOKUP(M129,Alignements!$A$2:$B$10,2, FALSE)&amp;""""))))))</f>
        <v>"1_LB", "2_NB", "3_CB", "4_LN", "5_NN", "6_CN", "7_LM", "8_NM", "9_CM"</v>
      </c>
      <c r="O129" s="298"/>
      <c r="P129" t="str">
        <f t="shared" si="5"/>
        <v>"Combattant (niv 1)": {
  "Name" : "Combattant (niv 1)",
  "VO" : "Warrior (lvl 1)",
  "Family" : "HUMANOID",
  "Species" : [""],
  "FP" : "0", 
  "Size" : "M",
  "AC" : 16,
  "HP" : 13, 
  "Speed" : "",
  "Alignments" : ["1_LB", "2_NB", "3_CB", "4_LN", "5_NN", "6_CN", "7_LM", "8_NM", "9_CM"],
  "Legendary" : ""}</v>
      </c>
    </row>
    <row r="130" spans="1:16">
      <c r="A130" s="61" t="s">
        <v>4335</v>
      </c>
      <c r="B130" s="297" t="s">
        <v>4336</v>
      </c>
      <c r="C130" s="305">
        <v>0</v>
      </c>
      <c r="D130" s="297" t="s">
        <v>4108</v>
      </c>
      <c r="E130" s="297" t="str">
        <f t="shared" si="3"/>
        <v>Humanoïde</v>
      </c>
      <c r="F130" s="297" t="str">
        <f>VLOOKUP(E130,'Types de monstres'!$A$2:$B$17,2,FALSE)</f>
        <v>HUMANOID</v>
      </c>
      <c r="G130" s="297" t="str">
        <f t="shared" si="4"/>
        <v>toute race</v>
      </c>
      <c r="H130" s="297" t="str">
        <f>IF(OR(G130="",G130="toute race"),"",VLOOKUP(G130,'Types de monstres'!$F$2:$G$49,2,FALSE))</f>
        <v/>
      </c>
      <c r="I130" s="297" t="s">
        <v>4091</v>
      </c>
      <c r="J130" s="302">
        <v>16</v>
      </c>
      <c r="K130" s="302">
        <v>19</v>
      </c>
      <c r="L130" s="297"/>
      <c r="M130" s="297" t="s">
        <v>4109</v>
      </c>
      <c r="N130" s="297" t="str">
        <f>IF(M130="sans alignement","",IF(M130="tout alignement", """1_LB"", ""2_NB"", ""3_CB"", ""4_LN"", ""5_NN"", ""6_CN"", ""7_LM"", ""8_NM"", ""9_CM""",IF(M130="tout alignement non bon", """4_LN"", ""5_NN"", ""6_CN"", ""7_LM"", ""8_NM"", ""9_CM""",IF(M130="tout alignement mauvais", """7_LM"", ""8_NM"", ""9_CM""",IF(M130="tout alignement chaotique", """3_CB"", ""6_CN"", ""9_CM""",IF(M130="tout alignement non loyal", """2_NB"", ""3_CB"", ""5_NN"", ""6_CN"", ""8_NM"", ""9_CM""",""""&amp;VLOOKUP(M130,Alignements!$A$2:$B$10,2, FALSE)&amp;""""))))))</f>
        <v>"1_LB", "2_NB", "3_CB", "4_LN", "5_NN", "6_CN", "7_LM", "8_NM", "9_CM"</v>
      </c>
      <c r="O130" s="297"/>
      <c r="P130" t="str">
        <f t="shared" si="5"/>
        <v>"Combattant (niv 2)": {
  "Name" : "Combattant (niv 2)",
  "VO" : "Warrior (lvl 2)",
  "Family" : "HUMANOID",
  "Species" : [""],
  "FP" : "0", 
  "Size" : "M",
  "AC" : 16,
  "HP" : 19, 
  "Speed" : "",
  "Alignments" : ["1_LB", "2_NB", "3_CB", "4_LN", "5_NN", "6_CN", "7_LM", "8_NM", "9_CM"],
  "Legendary" : ""}</v>
      </c>
    </row>
    <row r="131" spans="1:16">
      <c r="A131" s="61" t="s">
        <v>4337</v>
      </c>
      <c r="B131" s="298" t="s">
        <v>4338</v>
      </c>
      <c r="C131" s="306">
        <v>0</v>
      </c>
      <c r="D131" s="298" t="s">
        <v>4108</v>
      </c>
      <c r="E131" s="297" t="str">
        <f t="shared" ref="E131:E194" si="6">IF(ISERROR( FIND("(",D131) ),D131,LEFT(D131, FIND("(",D131)-2))</f>
        <v>Humanoïde</v>
      </c>
      <c r="F131" s="297" t="str">
        <f>VLOOKUP(E131,'Types de monstres'!$A$2:$B$17,2,FALSE)</f>
        <v>HUMANOID</v>
      </c>
      <c r="G131" s="297" t="str">
        <f t="shared" ref="G131:G194" si="7">IF(ISERROR( FIND("(",D131) ),"",RIGHT(LEFT(D131,LEN(D131)-1), LEN(D131)-FIND("(",D131)-1))</f>
        <v>toute race</v>
      </c>
      <c r="H131" s="297" t="str">
        <f>IF(OR(G131="",G131="toute race"),"",VLOOKUP(G131,'Types de monstres'!$F$2:$G$49,2,FALSE))</f>
        <v/>
      </c>
      <c r="I131" s="298" t="s">
        <v>4091</v>
      </c>
      <c r="J131" s="300">
        <v>16</v>
      </c>
      <c r="K131" s="300">
        <v>26</v>
      </c>
      <c r="L131" s="298"/>
      <c r="M131" s="298" t="s">
        <v>4109</v>
      </c>
      <c r="N131" s="297" t="str">
        <f>IF(M131="sans alignement","",IF(M131="tout alignement", """1_LB"", ""2_NB"", ""3_CB"", ""4_LN"", ""5_NN"", ""6_CN"", ""7_LM"", ""8_NM"", ""9_CM""",IF(M131="tout alignement non bon", """4_LN"", ""5_NN"", ""6_CN"", ""7_LM"", ""8_NM"", ""9_CM""",IF(M131="tout alignement mauvais", """7_LM"", ""8_NM"", ""9_CM""",IF(M131="tout alignement chaotique", """3_CB"", ""6_CN"", ""9_CM""",IF(M131="tout alignement non loyal", """2_NB"", ""3_CB"", ""5_NN"", ""6_CN"", ""8_NM"", ""9_CM""",""""&amp;VLOOKUP(M131,Alignements!$A$2:$B$10,2, FALSE)&amp;""""))))))</f>
        <v>"1_LB", "2_NB", "3_CB", "4_LN", "5_NN", "6_CN", "7_LM", "8_NM", "9_CM"</v>
      </c>
      <c r="O131" s="298"/>
      <c r="P131" t="str">
        <f t="shared" ref="P131:P194" si="8">""""&amp;A131&amp;""": {
  ""Name"" : """&amp;A131&amp;""",
  ""VO"" : """&amp;B131&amp;""",
  ""Family"" : """&amp;F131&amp;""",
  ""Species"" : ["""&amp;SUBSTITUTE(H131,", ",""", """)&amp;"""],
  ""FP"" : """&amp;SUBSTITUTE(C131,"""","")&amp;""", 
  ""Size"" : """&amp;I131&amp;""",
  ""AC"" : "&amp;J131&amp;",
  ""HP"" : "&amp;K131&amp;", 
  ""Speed"" : """&amp;L131&amp;""",
  ""Alignments"" : ["&amp;N131&amp;"],
  ""Legendary"" : """&amp;O131&amp;"""}"</f>
        <v>"Combattant (niv 3)": {
  "Name" : "Combattant (niv 3)",
  "VO" : "Warrior (lvl 3)",
  "Family" : "HUMANOID",
  "Species" : [""],
  "FP" : "0", 
  "Size" : "M",
  "AC" : 16,
  "HP" : 26, 
  "Speed" : "",
  "Alignments" : ["1_LB", "2_NB", "3_CB", "4_LN", "5_NN", "6_CN", "7_LM", "8_NM", "9_CM"],
  "Legendary" : ""}</v>
      </c>
    </row>
    <row r="132" spans="1:16">
      <c r="A132" s="61" t="s">
        <v>4339</v>
      </c>
      <c r="B132" s="297" t="s">
        <v>4340</v>
      </c>
      <c r="C132" s="305">
        <v>0</v>
      </c>
      <c r="D132" s="297" t="s">
        <v>4108</v>
      </c>
      <c r="E132" s="297" t="str">
        <f t="shared" si="6"/>
        <v>Humanoïde</v>
      </c>
      <c r="F132" s="297" t="str">
        <f>VLOOKUP(E132,'Types de monstres'!$A$2:$B$17,2,FALSE)</f>
        <v>HUMANOID</v>
      </c>
      <c r="G132" s="297" t="str">
        <f t="shared" si="7"/>
        <v>toute race</v>
      </c>
      <c r="H132" s="297" t="str">
        <f>IF(OR(G132="",G132="toute race"),"",VLOOKUP(G132,'Types de monstres'!$F$2:$G$49,2,FALSE))</f>
        <v/>
      </c>
      <c r="I132" s="297" t="s">
        <v>4091</v>
      </c>
      <c r="J132" s="302">
        <v>16</v>
      </c>
      <c r="K132" s="302">
        <v>32</v>
      </c>
      <c r="L132" s="297"/>
      <c r="M132" s="297" t="s">
        <v>4109</v>
      </c>
      <c r="N132" s="297" t="str">
        <f>IF(M132="sans alignement","",IF(M132="tout alignement", """1_LB"", ""2_NB"", ""3_CB"", ""4_LN"", ""5_NN"", ""6_CN"", ""7_LM"", ""8_NM"", ""9_CM""",IF(M132="tout alignement non bon", """4_LN"", ""5_NN"", ""6_CN"", ""7_LM"", ""8_NM"", ""9_CM""",IF(M132="tout alignement mauvais", """7_LM"", ""8_NM"", ""9_CM""",IF(M132="tout alignement chaotique", """3_CB"", ""6_CN"", ""9_CM""",IF(M132="tout alignement non loyal", """2_NB"", ""3_CB"", ""5_NN"", ""6_CN"", ""8_NM"", ""9_CM""",""""&amp;VLOOKUP(M132,Alignements!$A$2:$B$10,2, FALSE)&amp;""""))))))</f>
        <v>"1_LB", "2_NB", "3_CB", "4_LN", "5_NN", "6_CN", "7_LM", "8_NM", "9_CM"</v>
      </c>
      <c r="O132" s="297"/>
      <c r="P132" t="str">
        <f t="shared" si="8"/>
        <v>"Combattant (niv 4)": {
  "Name" : "Combattant (niv 4)",
  "VO" : "Warrior (lvl 4)",
  "Family" : "HUMANOID",
  "Species" : [""],
  "FP" : "0", 
  "Size" : "M",
  "AC" : 16,
  "HP" : 32, 
  "Speed" : "",
  "Alignments" : ["1_LB", "2_NB", "3_CB", "4_LN", "5_NN", "6_CN", "7_LM", "8_NM", "9_CM"],
  "Legendary" : ""}</v>
      </c>
    </row>
    <row r="133" spans="1:16">
      <c r="A133" s="61" t="s">
        <v>4341</v>
      </c>
      <c r="B133" s="298" t="s">
        <v>4342</v>
      </c>
      <c r="C133" s="306">
        <v>0</v>
      </c>
      <c r="D133" s="298" t="s">
        <v>4108</v>
      </c>
      <c r="E133" s="297" t="str">
        <f t="shared" si="6"/>
        <v>Humanoïde</v>
      </c>
      <c r="F133" s="297" t="str">
        <f>VLOOKUP(E133,'Types de monstres'!$A$2:$B$17,2,FALSE)</f>
        <v>HUMANOID</v>
      </c>
      <c r="G133" s="297" t="str">
        <f t="shared" si="7"/>
        <v>toute race</v>
      </c>
      <c r="H133" s="297" t="str">
        <f>IF(OR(G133="",G133="toute race"),"",VLOOKUP(G133,'Types de monstres'!$F$2:$G$49,2,FALSE))</f>
        <v/>
      </c>
      <c r="I133" s="298" t="s">
        <v>4091</v>
      </c>
      <c r="J133" s="300">
        <v>16</v>
      </c>
      <c r="K133" s="300">
        <v>39</v>
      </c>
      <c r="L133" s="298"/>
      <c r="M133" s="298" t="s">
        <v>4109</v>
      </c>
      <c r="N133" s="297" t="str">
        <f>IF(M133="sans alignement","",IF(M133="tout alignement", """1_LB"", ""2_NB"", ""3_CB"", ""4_LN"", ""5_NN"", ""6_CN"", ""7_LM"", ""8_NM"", ""9_CM""",IF(M133="tout alignement non bon", """4_LN"", ""5_NN"", ""6_CN"", ""7_LM"", ""8_NM"", ""9_CM""",IF(M133="tout alignement mauvais", """7_LM"", ""8_NM"", ""9_CM""",IF(M133="tout alignement chaotique", """3_CB"", ""6_CN"", ""9_CM""",IF(M133="tout alignement non loyal", """2_NB"", ""3_CB"", ""5_NN"", ""6_CN"", ""8_NM"", ""9_CM""",""""&amp;VLOOKUP(M133,Alignements!$A$2:$B$10,2, FALSE)&amp;""""))))))</f>
        <v>"1_LB", "2_NB", "3_CB", "4_LN", "5_NN", "6_CN", "7_LM", "8_NM", "9_CM"</v>
      </c>
      <c r="O133" s="298"/>
      <c r="P133" t="str">
        <f t="shared" si="8"/>
        <v>"Combattant (niv 5)": {
  "Name" : "Combattant (niv 5)",
  "VO" : "Warrior (lvl 5)",
  "Family" : "HUMANOID",
  "Species" : [""],
  "FP" : "0", 
  "Size" : "M",
  "AC" : 16,
  "HP" : 39, 
  "Speed" : "",
  "Alignments" : ["1_LB", "2_NB", "3_CB", "4_LN", "5_NN", "6_CN", "7_LM", "8_NM", "9_CM"],
  "Legendary" : ""}</v>
      </c>
    </row>
    <row r="134" spans="1:16">
      <c r="A134" s="61" t="s">
        <v>4343</v>
      </c>
      <c r="B134" s="297" t="s">
        <v>4344</v>
      </c>
      <c r="C134" s="305">
        <v>0</v>
      </c>
      <c r="D134" s="297" t="s">
        <v>4108</v>
      </c>
      <c r="E134" s="297" t="str">
        <f t="shared" si="6"/>
        <v>Humanoïde</v>
      </c>
      <c r="F134" s="297" t="str">
        <f>VLOOKUP(E134,'Types de monstres'!$A$2:$B$17,2,FALSE)</f>
        <v>HUMANOID</v>
      </c>
      <c r="G134" s="297" t="str">
        <f t="shared" si="7"/>
        <v>toute race</v>
      </c>
      <c r="H134" s="297" t="str">
        <f>IF(OR(G134="",G134="toute race"),"",VLOOKUP(G134,'Types de monstres'!$F$2:$G$49,2,FALSE))</f>
        <v/>
      </c>
      <c r="I134" s="297" t="s">
        <v>4091</v>
      </c>
      <c r="J134" s="302">
        <v>16</v>
      </c>
      <c r="K134" s="302">
        <v>45</v>
      </c>
      <c r="L134" s="297"/>
      <c r="M134" s="297" t="s">
        <v>4109</v>
      </c>
      <c r="N134" s="297" t="str">
        <f>IF(M134="sans alignement","",IF(M134="tout alignement", """1_LB"", ""2_NB"", ""3_CB"", ""4_LN"", ""5_NN"", ""6_CN"", ""7_LM"", ""8_NM"", ""9_CM""",IF(M134="tout alignement non bon", """4_LN"", ""5_NN"", ""6_CN"", ""7_LM"", ""8_NM"", ""9_CM""",IF(M134="tout alignement mauvais", """7_LM"", ""8_NM"", ""9_CM""",IF(M134="tout alignement chaotique", """3_CB"", ""6_CN"", ""9_CM""",IF(M134="tout alignement non loyal", """2_NB"", ""3_CB"", ""5_NN"", ""6_CN"", ""8_NM"", ""9_CM""",""""&amp;VLOOKUP(M134,Alignements!$A$2:$B$10,2, FALSE)&amp;""""))))))</f>
        <v>"1_LB", "2_NB", "3_CB", "4_LN", "5_NN", "6_CN", "7_LM", "8_NM", "9_CM"</v>
      </c>
      <c r="O134" s="297"/>
      <c r="P134" t="str">
        <f t="shared" si="8"/>
        <v>"Combattant (niv 6)": {
  "Name" : "Combattant (niv 6)",
  "VO" : "Warrior (lvl 6)",
  "Family" : "HUMANOID",
  "Species" : [""],
  "FP" : "0", 
  "Size" : "M",
  "AC" : 16,
  "HP" : 45, 
  "Speed" : "",
  "Alignments" : ["1_LB", "2_NB", "3_CB", "4_LN", "5_NN", "6_CN", "7_LM", "8_NM", "9_CM"],
  "Legendary" : ""}</v>
      </c>
    </row>
    <row r="135" spans="1:16">
      <c r="A135" s="61" t="s">
        <v>4345</v>
      </c>
      <c r="B135" s="298" t="s">
        <v>4346</v>
      </c>
      <c r="C135" s="306">
        <v>2</v>
      </c>
      <c r="D135" s="298" t="s">
        <v>4242</v>
      </c>
      <c r="E135" s="297" t="str">
        <f t="shared" si="6"/>
        <v>Humanoïde</v>
      </c>
      <c r="F135" s="297" t="str">
        <f>VLOOKUP(E135,'Types de monstres'!$A$2:$B$17,2,FALSE)</f>
        <v>HUMANOID</v>
      </c>
      <c r="G135" s="297" t="str">
        <f t="shared" si="7"/>
        <v>humain</v>
      </c>
      <c r="H135" s="297" t="str">
        <f>IF(OR(G135="",G135="toute race"),"",VLOOKUP(G135,'Types de monstres'!$F$2:$G$49,2,FALSE))</f>
        <v>HUMAN</v>
      </c>
      <c r="I135" s="298" t="s">
        <v>4091</v>
      </c>
      <c r="J135" s="300">
        <v>16</v>
      </c>
      <c r="K135" s="300">
        <v>45</v>
      </c>
      <c r="L135" s="298"/>
      <c r="M135" s="298" t="s">
        <v>4097</v>
      </c>
      <c r="N135" s="297" t="str">
        <f>IF(M135="sans alignement","",IF(M135="tout alignement", """1_LB"", ""2_NB"", ""3_CB"", ""4_LN"", ""5_NN"", ""6_CN"", ""7_LM"", ""8_NM"", ""9_CM""",IF(M135="tout alignement non bon", """4_LN"", ""5_NN"", ""6_CN"", ""7_LM"", ""8_NM"", ""9_CM""",IF(M135="tout alignement mauvais", """7_LM"", ""8_NM"", ""9_CM""",IF(M135="tout alignement chaotique", """3_CB"", ""6_CN"", ""9_CM""",IF(M135="tout alignement non loyal", """2_NB"", ""3_CB"", ""5_NN"", ""6_CN"", ""8_NM"", ""9_CM""",""""&amp;VLOOKUP(M135,Alignements!$A$2:$B$10,2, FALSE)&amp;""""))))))</f>
        <v>"7_LM"</v>
      </c>
      <c r="O135" s="298"/>
      <c r="P135" t="str">
        <f t="shared" si="8"/>
        <v>"Consul de fer": {
  "Name" : "Consul de fer",
  "VO" : "Iron Consul",
  "Family" : "HUMANOID",
  "Species" : ["HUMAN"],
  "FP" : "2", 
  "Size" : "M",
  "AC" : 16,
  "HP" : 45, 
  "Speed" : "",
  "Alignments" : ["7_LM"],
  "Legendary" : ""}</v>
      </c>
    </row>
    <row r="136" spans="1:16">
      <c r="A136" s="61" t="s">
        <v>4347</v>
      </c>
      <c r="B136" s="297" t="s">
        <v>4348</v>
      </c>
      <c r="C136" s="305">
        <v>0</v>
      </c>
      <c r="D136" s="297" t="s">
        <v>4128</v>
      </c>
      <c r="E136" s="297" t="str">
        <f t="shared" si="6"/>
        <v>Bête</v>
      </c>
      <c r="F136" s="297" t="str">
        <f>VLOOKUP(E136,'Types de monstres'!$A$2:$B$17,2,FALSE)</f>
        <v>BEAST</v>
      </c>
      <c r="G136" s="297" t="str">
        <f t="shared" si="7"/>
        <v/>
      </c>
      <c r="H136" s="297" t="str">
        <f>IF(OR(G136="",G136="toute race"),"",VLOOKUP(G136,'Types de monstres'!$F$2:$G$49,2,FALSE))</f>
        <v/>
      </c>
      <c r="I136" s="297" t="s">
        <v>4154</v>
      </c>
      <c r="J136" s="302">
        <v>12</v>
      </c>
      <c r="K136" s="302">
        <v>1</v>
      </c>
      <c r="L136" s="297" t="s">
        <v>4092</v>
      </c>
      <c r="M136" s="297" t="s">
        <v>4130</v>
      </c>
      <c r="N136" s="297" t="str">
        <f>IF(M136="sans alignement","",IF(M136="tout alignement", """1_LB"", ""2_NB"", ""3_CB"", ""4_LN"", ""5_NN"", ""6_CN"", ""7_LM"", ""8_NM"", ""9_CM""",IF(M136="tout alignement non bon", """4_LN"", ""5_NN"", ""6_CN"", ""7_LM"", ""8_NM"", ""9_CM""",IF(M136="tout alignement mauvais", """7_LM"", ""8_NM"", ""9_CM""",IF(M136="tout alignement chaotique", """3_CB"", ""6_CN"", ""9_CM""",IF(M136="tout alignement non loyal", """2_NB"", ""3_CB"", ""5_NN"", ""6_CN"", ""8_NM"", ""9_CM""",""""&amp;VLOOKUP(M136,Alignements!$A$2:$B$10,2, FALSE)&amp;""""))))))</f>
        <v/>
      </c>
      <c r="O136" s="297"/>
      <c r="P136" t="str">
        <f t="shared" si="8"/>
        <v>"Corbeau": {
  "Name" : "Corbeau",
  "VO" : "Raven",
  "Family" : "BEAST",
  "Species" : [""],
  "FP" : "0", 
  "Size" : "TP",
  "AC" : 12,
  "HP" : 1, 
  "Speed" : "vol",
  "Alignments" : [],
  "Legendary" : ""}</v>
      </c>
    </row>
    <row r="137" spans="1:16" ht="21">
      <c r="A137" s="299" t="s">
        <v>4349</v>
      </c>
      <c r="B137" s="298" t="s">
        <v>4350</v>
      </c>
      <c r="C137" s="306">
        <v>2</v>
      </c>
      <c r="D137" s="298" t="s">
        <v>4351</v>
      </c>
      <c r="E137" s="297" t="str">
        <f t="shared" si="6"/>
        <v>Humanoïde</v>
      </c>
      <c r="F137" s="297" t="str">
        <f>VLOOKUP(E137,'Types de monstres'!$A$2:$B$17,2,FALSE)</f>
        <v>HUMANOID</v>
      </c>
      <c r="G137" s="297" t="str">
        <f t="shared" si="7"/>
        <v>humain, métamorphe</v>
      </c>
      <c r="H137" s="297" t="s">
        <v>5721</v>
      </c>
      <c r="I137" s="298" t="s">
        <v>4091</v>
      </c>
      <c r="J137" s="300">
        <v>12</v>
      </c>
      <c r="K137" s="300">
        <v>31</v>
      </c>
      <c r="L137" s="298" t="s">
        <v>4092</v>
      </c>
      <c r="M137" s="298" t="s">
        <v>4318</v>
      </c>
      <c r="N137" s="297" t="str">
        <f>IF(M137="sans alignement","",IF(M137="tout alignement", """1_LB"", ""2_NB"", ""3_CB"", ""4_LN"", ""5_NN"", ""6_CN"", ""7_LM"", ""8_NM"", ""9_CM""",IF(M137="tout alignement non bon", """4_LN"", ""5_NN"", ""6_CN"", ""7_LM"", ""8_NM"", ""9_CM""",IF(M137="tout alignement mauvais", """7_LM"", ""8_NM"", ""9_CM""",IF(M137="tout alignement chaotique", """3_CB"", ""6_CN"", ""9_CM""",IF(M137="tout alignement non loyal", """2_NB"", ""3_CB"", ""5_NN"", ""6_CN"", ""8_NM"", ""9_CM""",""""&amp;VLOOKUP(M137,Alignements!$A$2:$B$10,2, FALSE)&amp;""""))))))</f>
        <v>"1_LB"</v>
      </c>
      <c r="O137" s="298"/>
      <c r="P137" t="str">
        <f t="shared" si="8"/>
        <v>"Corbeau-garou": {
  "Name" : "Corbeau-garou",
  "VO" : "Wereraven",
  "Family" : "HUMANOID",
  "Species" : ["HUMAN", "METAMORPH"],
  "FP" : "2", 
  "Size" : "M",
  "AC" : 12,
  "HP" : 31, 
  "Speed" : "vol",
  "Alignments" : ["1_LB"],
  "Legendary" : ""}</v>
      </c>
    </row>
    <row r="138" spans="1:16">
      <c r="A138" s="61" t="s">
        <v>4352</v>
      </c>
      <c r="B138" s="297" t="s">
        <v>4352</v>
      </c>
      <c r="C138" s="305">
        <v>4</v>
      </c>
      <c r="D138" s="297" t="s">
        <v>2598</v>
      </c>
      <c r="E138" s="297" t="str">
        <f t="shared" si="6"/>
        <v>Céleste</v>
      </c>
      <c r="F138" s="297" t="str">
        <f>VLOOKUP(E138,'Types de monstres'!$A$2:$B$17,2,FALSE)</f>
        <v>CELESTIAL</v>
      </c>
      <c r="G138" s="297" t="str">
        <f t="shared" si="7"/>
        <v/>
      </c>
      <c r="H138" s="297" t="str">
        <f>IF(OR(G138="",G138="toute race"),"",VLOOKUP(G138,'Types de monstres'!$F$2:$G$49,2,FALSE))</f>
        <v/>
      </c>
      <c r="I138" s="297" t="s">
        <v>4091</v>
      </c>
      <c r="J138" s="302">
        <v>19</v>
      </c>
      <c r="K138" s="302">
        <v>97</v>
      </c>
      <c r="L138" s="297" t="s">
        <v>4092</v>
      </c>
      <c r="M138" s="297" t="s">
        <v>4318</v>
      </c>
      <c r="N138" s="297" t="str">
        <f>IF(M138="sans alignement","",IF(M138="tout alignement", """1_LB"", ""2_NB"", ""3_CB"", ""4_LN"", ""5_NN"", ""6_CN"", ""7_LM"", ""8_NM"", ""9_CM""",IF(M138="tout alignement non bon", """4_LN"", ""5_NN"", ""6_CN"", ""7_LM"", ""8_NM"", ""9_CM""",IF(M138="tout alignement mauvais", """7_LM"", ""8_NM"", ""9_CM""",IF(M138="tout alignement chaotique", """3_CB"", ""6_CN"", ""9_CM""",IF(M138="tout alignement non loyal", """2_NB"", ""3_CB"", ""5_NN"", ""6_CN"", ""8_NM"", ""9_CM""",""""&amp;VLOOKUP(M138,Alignements!$A$2:$B$10,2, FALSE)&amp;""""))))))</f>
        <v>"1_LB"</v>
      </c>
      <c r="O138" s="297"/>
      <c r="P138" t="str">
        <f t="shared" si="8"/>
        <v>"Couatl": {
  "Name" : "Couatl",
  "VO" : "Couatl",
  "Family" : "CELESTIAL",
  "Species" : [""],
  "FP" : "4", 
  "Size" : "M",
  "AC" : 19,
  "HP" : 97, 
  "Speed" : "vol",
  "Alignments" : ["1_LB"],
  "Legendary" : ""}</v>
      </c>
    </row>
    <row r="139" spans="1:16">
      <c r="A139" s="299" t="s">
        <v>4353</v>
      </c>
      <c r="B139" s="298" t="s">
        <v>4354</v>
      </c>
      <c r="C139" s="306" t="s">
        <v>5618</v>
      </c>
      <c r="D139" s="298" t="s">
        <v>4128</v>
      </c>
      <c r="E139" s="297" t="str">
        <f t="shared" si="6"/>
        <v>Bête</v>
      </c>
      <c r="F139" s="297" t="str">
        <f>VLOOKUP(E139,'Types de monstres'!$A$2:$B$17,2,FALSE)</f>
        <v>BEAST</v>
      </c>
      <c r="G139" s="297" t="str">
        <f t="shared" si="7"/>
        <v/>
      </c>
      <c r="H139" s="297" t="str">
        <f>IF(OR(G139="",G139="toute race"),"",VLOOKUP(G139,'Types de monstres'!$F$2:$G$49,2,FALSE))</f>
        <v/>
      </c>
      <c r="I139" s="298" t="s">
        <v>4091</v>
      </c>
      <c r="J139" s="300">
        <v>14</v>
      </c>
      <c r="K139" s="300">
        <v>9</v>
      </c>
      <c r="L139" s="298"/>
      <c r="M139" s="298" t="s">
        <v>4130</v>
      </c>
      <c r="N139" s="297" t="str">
        <f>IF(M139="sans alignement","",IF(M139="tout alignement", """1_LB"", ""2_NB"", ""3_CB"", ""4_LN"", ""5_NN"", ""6_CN"", ""7_LM"", ""8_NM"", ""9_CM""",IF(M139="tout alignement non bon", """4_LN"", ""5_NN"", ""6_CN"", ""7_LM"", ""8_NM"", ""9_CM""",IF(M139="tout alignement mauvais", """7_LM"", ""8_NM"", ""9_CM""",IF(M139="tout alignement chaotique", """3_CB"", ""6_CN"", ""9_CM""",IF(M139="tout alignement non loyal", """2_NB"", ""3_CB"", ""5_NN"", ""6_CN"", ""8_NM"", ""9_CM""",""""&amp;VLOOKUP(M139,Alignements!$A$2:$B$10,2, FALSE)&amp;""""))))))</f>
        <v/>
      </c>
      <c r="O139" s="298"/>
      <c r="P139" t="str">
        <f t="shared" si="8"/>
        <v>"Courseur": {
  "Name" : "Courseur",
  "VO" : "Fastieth",
  "Family" : "BEAST",
  "Species" : [""],
  "FP" : "1/4", 
  "Size" : "M",
  "AC" : 14,
  "HP" : 9, 
  "Speed" : "",
  "Alignments" : [],
  "Legendary" : ""}</v>
      </c>
    </row>
    <row r="140" spans="1:16">
      <c r="A140" s="61" t="s">
        <v>4355</v>
      </c>
      <c r="B140" s="297" t="s">
        <v>4356</v>
      </c>
      <c r="C140" s="305">
        <v>0</v>
      </c>
      <c r="D140" s="297" t="s">
        <v>4128</v>
      </c>
      <c r="E140" s="297" t="str">
        <f t="shared" si="6"/>
        <v>Bête</v>
      </c>
      <c r="F140" s="297" t="str">
        <f>VLOOKUP(E140,'Types de monstres'!$A$2:$B$17,2,FALSE)</f>
        <v>BEAST</v>
      </c>
      <c r="G140" s="297" t="str">
        <f t="shared" si="7"/>
        <v/>
      </c>
      <c r="H140" s="297" t="str">
        <f>IF(OR(G140="",G140="toute race"),"",VLOOKUP(G140,'Types de monstres'!$F$2:$G$49,2,FALSE))</f>
        <v/>
      </c>
      <c r="I140" s="297" t="s">
        <v>4154</v>
      </c>
      <c r="J140" s="302">
        <v>11</v>
      </c>
      <c r="K140" s="302">
        <v>2</v>
      </c>
      <c r="L140" s="297" t="s">
        <v>4113</v>
      </c>
      <c r="M140" s="297" t="s">
        <v>4130</v>
      </c>
      <c r="N140" s="297" t="str">
        <f>IF(M140="sans alignement","",IF(M140="tout alignement", """1_LB"", ""2_NB"", ""3_CB"", ""4_LN"", ""5_NN"", ""6_CN"", ""7_LM"", ""8_NM"", ""9_CM""",IF(M140="tout alignement non bon", """4_LN"", ""5_NN"", ""6_CN"", ""7_LM"", ""8_NM"", ""9_CM""",IF(M140="tout alignement mauvais", """7_LM"", ""8_NM"", ""9_CM""",IF(M140="tout alignement chaotique", """3_CB"", ""6_CN"", ""9_CM""",IF(M140="tout alignement non loyal", """2_NB"", ""3_CB"", ""5_NN"", ""6_CN"", ""8_NM"", ""9_CM""",""""&amp;VLOOKUP(M140,Alignements!$A$2:$B$10,2, FALSE)&amp;""""))))))</f>
        <v/>
      </c>
      <c r="O140" s="297"/>
      <c r="P140" t="str">
        <f t="shared" si="8"/>
        <v>"Crabe": {
  "Name" : "Crabe",
  "VO" : "Crab",
  "Family" : "BEAST",
  "Species" : [""],
  "FP" : "0", 
  "Size" : "TP",
  "AC" : 11,
  "HP" : 2, 
  "Speed" : "nage",
  "Alignments" : [],
  "Legendary" : ""}</v>
      </c>
    </row>
    <row r="141" spans="1:16">
      <c r="A141" s="61" t="s">
        <v>4357</v>
      </c>
      <c r="B141" s="298" t="s">
        <v>4358</v>
      </c>
      <c r="C141" s="306" t="s">
        <v>5619</v>
      </c>
      <c r="D141" s="298" t="s">
        <v>4128</v>
      </c>
      <c r="E141" s="297" t="str">
        <f t="shared" si="6"/>
        <v>Bête</v>
      </c>
      <c r="F141" s="297" t="str">
        <f>VLOOKUP(E141,'Types de monstres'!$A$2:$B$17,2,FALSE)</f>
        <v>BEAST</v>
      </c>
      <c r="G141" s="297" t="str">
        <f t="shared" si="7"/>
        <v/>
      </c>
      <c r="H141" s="297" t="str">
        <f>IF(OR(G141="",G141="toute race"),"",VLOOKUP(G141,'Types de monstres'!$F$2:$G$49,2,FALSE))</f>
        <v/>
      </c>
      <c r="I141" s="298" t="s">
        <v>4091</v>
      </c>
      <c r="J141" s="300">
        <v>15</v>
      </c>
      <c r="K141" s="300">
        <v>13</v>
      </c>
      <c r="L141" s="298" t="s">
        <v>4113</v>
      </c>
      <c r="M141" s="298" t="s">
        <v>4130</v>
      </c>
      <c r="N141" s="297" t="str">
        <f>IF(M141="sans alignement","",IF(M141="tout alignement", """1_LB"", ""2_NB"", ""3_CB"", ""4_LN"", ""5_NN"", ""6_CN"", ""7_LM"", ""8_NM"", ""9_CM""",IF(M141="tout alignement non bon", """4_LN"", ""5_NN"", ""6_CN"", ""7_LM"", ""8_NM"", ""9_CM""",IF(M141="tout alignement mauvais", """7_LM"", ""8_NM"", ""9_CM""",IF(M141="tout alignement chaotique", """3_CB"", ""6_CN"", ""9_CM""",IF(M141="tout alignement non loyal", """2_NB"", ""3_CB"", ""5_NN"", ""6_CN"", ""8_NM"", ""9_CM""",""""&amp;VLOOKUP(M141,Alignements!$A$2:$B$10,2, FALSE)&amp;""""))))))</f>
        <v/>
      </c>
      <c r="O141" s="298"/>
      <c r="P141" t="str">
        <f t="shared" si="8"/>
        <v>"Crabe géant": {
  "Name" : "Crabe géant",
  "VO" : "Giant Crab",
  "Family" : "BEAST",
  "Species" : [""],
  "FP" : "1/8", 
  "Size" : "M",
  "AC" : 15,
  "HP" : 13, 
  "Speed" : "nage",
  "Alignments" : [],
  "Legendary" : ""}</v>
      </c>
    </row>
    <row r="142" spans="1:16">
      <c r="A142" s="61" t="s">
        <v>4359</v>
      </c>
      <c r="B142" s="297" t="s">
        <v>4360</v>
      </c>
      <c r="C142" s="305">
        <v>3</v>
      </c>
      <c r="D142" s="297" t="s">
        <v>4121</v>
      </c>
      <c r="E142" s="297" t="str">
        <f t="shared" si="6"/>
        <v>Créature monstrueuse</v>
      </c>
      <c r="F142" s="297" t="str">
        <f>VLOOKUP(E142,'Types de monstres'!$A$2:$B$17,2,FALSE)</f>
        <v>MONSTROUS_CREATURE</v>
      </c>
      <c r="G142" s="297" t="str">
        <f t="shared" si="7"/>
        <v/>
      </c>
      <c r="H142" s="297" t="str">
        <f>IF(OR(G142="",G142="toute race"),"",VLOOKUP(G142,'Types de monstres'!$F$2:$G$49,2,FALSE))</f>
        <v/>
      </c>
      <c r="I142" s="297" t="s">
        <v>4091</v>
      </c>
      <c r="J142" s="302">
        <v>16</v>
      </c>
      <c r="K142" s="302">
        <v>58</v>
      </c>
      <c r="L142" s="297"/>
      <c r="M142" s="297" t="s">
        <v>4130</v>
      </c>
      <c r="N142" s="297" t="str">
        <f>IF(M142="sans alignement","",IF(M142="tout alignement", """1_LB"", ""2_NB"", ""3_CB"", ""4_LN"", ""5_NN"", ""6_CN"", ""7_LM"", ""8_NM"", ""9_CM""",IF(M142="tout alignement non bon", """4_LN"", ""5_NN"", ""6_CN"", ""7_LM"", ""8_NM"", ""9_CM""",IF(M142="tout alignement mauvais", """7_LM"", ""8_NM"", ""9_CM""",IF(M142="tout alignement chaotique", """3_CB"", ""6_CN"", ""9_CM""",IF(M142="tout alignement non loyal", """2_NB"", ""3_CB"", ""5_NN"", ""6_CN"", ""8_NM"", ""9_CM""",""""&amp;VLOOKUP(M142,Alignements!$A$2:$B$10,2, FALSE)&amp;""""))))))</f>
        <v/>
      </c>
      <c r="O142" s="297"/>
      <c r="P142" t="str">
        <f t="shared" si="8"/>
        <v>"Crabe-pêcheur": {
  "Name" : "Crabe-pêcheur",
  "VO" : "Cave Fisher",
  "Family" : "MONSTROUS_CREATURE",
  "Species" : [""],
  "FP" : "3", 
  "Size" : "M",
  "AC" : 16,
  "HP" : 58, 
  "Speed" : "",
  "Alignments" : [],
  "Legendary" : ""}</v>
      </c>
    </row>
    <row r="143" spans="1:16">
      <c r="A143" s="61" t="s">
        <v>4361</v>
      </c>
      <c r="B143" s="298" t="s">
        <v>4362</v>
      </c>
      <c r="C143" s="306">
        <v>4</v>
      </c>
      <c r="D143" s="298" t="s">
        <v>4117</v>
      </c>
      <c r="E143" s="297" t="str">
        <f t="shared" si="6"/>
        <v>Mort-vivant</v>
      </c>
      <c r="F143" s="297" t="str">
        <f>VLOOKUP(E143,'Types de monstres'!$A$2:$B$17,2,FALSE)</f>
        <v>UNDEAD</v>
      </c>
      <c r="G143" s="297" t="str">
        <f t="shared" si="7"/>
        <v/>
      </c>
      <c r="H143" s="297" t="str">
        <f>IF(OR(G143="",G143="toute race"),"",VLOOKUP(G143,'Types de monstres'!$F$2:$G$49,2,FALSE))</f>
        <v/>
      </c>
      <c r="I143" s="298" t="s">
        <v>4154</v>
      </c>
      <c r="J143" s="300">
        <v>13</v>
      </c>
      <c r="K143" s="300">
        <v>40</v>
      </c>
      <c r="L143" s="298" t="s">
        <v>4092</v>
      </c>
      <c r="M143" s="298" t="s">
        <v>4118</v>
      </c>
      <c r="N143" s="297" t="str">
        <f>IF(M143="sans alignement","",IF(M143="tout alignement", """1_LB"", ""2_NB"", ""3_CB"", ""4_LN"", ""5_NN"", ""6_CN"", ""7_LM"", ""8_NM"", ""9_CM""",IF(M143="tout alignement non bon", """4_LN"", ""5_NN"", ""6_CN"", ""7_LM"", ""8_NM"", ""9_CM""",IF(M143="tout alignement mauvais", """7_LM"", ""8_NM"", ""9_CM""",IF(M143="tout alignement chaotique", """3_CB"", ""6_CN"", ""9_CM""",IF(M143="tout alignement non loyal", """2_NB"", ""3_CB"", ""5_NN"", ""6_CN"", ""8_NM"", ""9_CM""",""""&amp;VLOOKUP(M143,Alignements!$A$2:$B$10,2, FALSE)&amp;""""))))))</f>
        <v>"8_NM"</v>
      </c>
      <c r="O143" s="298"/>
      <c r="P143" t="str">
        <f t="shared" si="8"/>
        <v>"Crânefeu": {
  "Name" : "Crânefeu",
  "VO" : "Flameskull",
  "Family" : "UNDEAD",
  "Species" : [""],
  "FP" : "4", 
  "Size" : "TP",
  "AC" : 13,
  "HP" : 40, 
  "Speed" : "vol",
  "Alignments" : ["8_NM"],
  "Legendary" : ""}</v>
      </c>
    </row>
    <row r="144" spans="1:16">
      <c r="A144" s="61" t="s">
        <v>4363</v>
      </c>
      <c r="B144" s="297" t="s">
        <v>4364</v>
      </c>
      <c r="C144" s="305">
        <v>1</v>
      </c>
      <c r="D144" s="297" t="s">
        <v>4128</v>
      </c>
      <c r="E144" s="297" t="str">
        <f t="shared" si="6"/>
        <v>Bête</v>
      </c>
      <c r="F144" s="297" t="str">
        <f>VLOOKUP(E144,'Types de monstres'!$A$2:$B$17,2,FALSE)</f>
        <v>BEAST</v>
      </c>
      <c r="G144" s="297" t="str">
        <f t="shared" si="7"/>
        <v/>
      </c>
      <c r="H144" s="297" t="str">
        <f>IF(OR(G144="",G144="toute race"),"",VLOOKUP(G144,'Types de monstres'!$F$2:$G$49,2,FALSE))</f>
        <v/>
      </c>
      <c r="I144" s="297" t="s">
        <v>4112</v>
      </c>
      <c r="J144" s="302">
        <v>11</v>
      </c>
      <c r="K144" s="302">
        <v>39</v>
      </c>
      <c r="L144" s="297" t="s">
        <v>4113</v>
      </c>
      <c r="M144" s="297" t="s">
        <v>4130</v>
      </c>
      <c r="N144" s="297" t="str">
        <f>IF(M144="sans alignement","",IF(M144="tout alignement", """1_LB"", ""2_NB"", ""3_CB"", ""4_LN"", ""5_NN"", ""6_CN"", ""7_LM"", ""8_NM"", ""9_CM""",IF(M144="tout alignement non bon", """4_LN"", ""5_NN"", ""6_CN"", ""7_LM"", ""8_NM"", ""9_CM""",IF(M144="tout alignement mauvais", """7_LM"", ""8_NM"", ""9_CM""",IF(M144="tout alignement chaotique", """3_CB"", ""6_CN"", ""9_CM""",IF(M144="tout alignement non loyal", """2_NB"", ""3_CB"", ""5_NN"", ""6_CN"", ""8_NM"", ""9_CM""",""""&amp;VLOOKUP(M144,Alignements!$A$2:$B$10,2, FALSE)&amp;""""))))))</f>
        <v/>
      </c>
      <c r="O144" s="297"/>
      <c r="P144" t="str">
        <f t="shared" si="8"/>
        <v>"Crapaud géant": {
  "Name" : "Crapaud géant",
  "VO" : "Giant Toad",
  "Family" : "BEAST",
  "Species" : [""],
  "FP" : "1", 
  "Size" : "G",
  "AC" : 11,
  "HP" : 39, 
  "Speed" : "nage",
  "Alignments" : [],
  "Legendary" : ""}</v>
      </c>
    </row>
    <row r="145" spans="1:16">
      <c r="A145" s="61" t="s">
        <v>4365</v>
      </c>
      <c r="B145" s="298" t="s">
        <v>4366</v>
      </c>
      <c r="C145" s="306">
        <v>0</v>
      </c>
      <c r="D145" s="298" t="s">
        <v>4167</v>
      </c>
      <c r="E145" s="297" t="str">
        <f t="shared" si="6"/>
        <v>Plante</v>
      </c>
      <c r="F145" s="297" t="str">
        <f>VLOOKUP(E145,'Types de monstres'!$A$2:$B$17,2,FALSE)</f>
        <v>PLANT</v>
      </c>
      <c r="G145" s="297" t="str">
        <f t="shared" si="7"/>
        <v/>
      </c>
      <c r="H145" s="297" t="str">
        <f>IF(OR(G145="",G145="toute race"),"",VLOOKUP(G145,'Types de monstres'!$F$2:$G$49,2,FALSE))</f>
        <v/>
      </c>
      <c r="I145" s="298" t="s">
        <v>4091</v>
      </c>
      <c r="J145" s="300">
        <v>5</v>
      </c>
      <c r="K145" s="300">
        <v>13</v>
      </c>
      <c r="L145" s="298"/>
      <c r="M145" s="298" t="s">
        <v>4130</v>
      </c>
      <c r="N145" s="297" t="str">
        <f>IF(M145="sans alignement","",IF(M145="tout alignement", """1_LB"", ""2_NB"", ""3_CB"", ""4_LN"", ""5_NN"", ""6_CN"", ""7_LM"", ""8_NM"", ""9_CM""",IF(M145="tout alignement non bon", """4_LN"", ""5_NN"", ""6_CN"", ""7_LM"", ""8_NM"", ""9_CM""",IF(M145="tout alignement mauvais", """7_LM"", ""8_NM"", ""9_CM""",IF(M145="tout alignement chaotique", """3_CB"", ""6_CN"", ""9_CM""",IF(M145="tout alignement non loyal", """2_NB"", ""3_CB"", ""5_NN"", ""6_CN"", ""8_NM"", ""9_CM""",""""&amp;VLOOKUP(M145,Alignements!$A$2:$B$10,2, FALSE)&amp;""""))))))</f>
        <v/>
      </c>
      <c r="O145" s="298"/>
      <c r="P145" t="str">
        <f t="shared" si="8"/>
        <v>"Criard": {
  "Name" : "Criard",
  "VO" : "Shrieker",
  "Family" : "PLANT",
  "Species" : [""],
  "FP" : "0", 
  "Size" : "M",
  "AC" : 5,
  "HP" : 13, 
  "Speed" : "",
  "Alignments" : [],
  "Legendary" : ""}</v>
      </c>
    </row>
    <row r="146" spans="1:16">
      <c r="A146" s="61" t="s">
        <v>4367</v>
      </c>
      <c r="B146" s="297" t="s">
        <v>4367</v>
      </c>
      <c r="C146" s="305" t="s">
        <v>5620</v>
      </c>
      <c r="D146" s="297" t="s">
        <v>4128</v>
      </c>
      <c r="E146" s="297" t="str">
        <f t="shared" si="6"/>
        <v>Bête</v>
      </c>
      <c r="F146" s="297" t="str">
        <f>VLOOKUP(E146,'Types de monstres'!$A$2:$B$17,2,FALSE)</f>
        <v>BEAST</v>
      </c>
      <c r="G146" s="297" t="str">
        <f t="shared" si="7"/>
        <v/>
      </c>
      <c r="H146" s="297" t="str">
        <f>IF(OR(G146="",G146="toute race"),"",VLOOKUP(G146,'Types de monstres'!$F$2:$G$49,2,FALSE))</f>
        <v/>
      </c>
      <c r="I146" s="297" t="s">
        <v>4112</v>
      </c>
      <c r="J146" s="302">
        <v>12</v>
      </c>
      <c r="K146" s="302">
        <v>19</v>
      </c>
      <c r="L146" s="297" t="s">
        <v>4113</v>
      </c>
      <c r="M146" s="297" t="s">
        <v>4130</v>
      </c>
      <c r="N146" s="297" t="str">
        <f>IF(M146="sans alignement","",IF(M146="tout alignement", """1_LB"", ""2_NB"", ""3_CB"", ""4_LN"", ""5_NN"", ""6_CN"", ""7_LM"", ""8_NM"", ""9_CM""",IF(M146="tout alignement non bon", """4_LN"", ""5_NN"", ""6_CN"", ""7_LM"", ""8_NM"", ""9_CM""",IF(M146="tout alignement mauvais", """7_LM"", ""8_NM"", ""9_CM""",IF(M146="tout alignement chaotique", """3_CB"", ""6_CN"", ""9_CM""",IF(M146="tout alignement non loyal", """2_NB"", ""3_CB"", ""5_NN"", ""6_CN"", ""8_NM"", ""9_CM""",""""&amp;VLOOKUP(M146,Alignements!$A$2:$B$10,2, FALSE)&amp;""""))))))</f>
        <v/>
      </c>
      <c r="O146" s="297"/>
      <c r="P146" t="str">
        <f t="shared" si="8"/>
        <v>"Crocodile": {
  "Name" : "Crocodile",
  "VO" : "Crocodile",
  "Family" : "BEAST",
  "Species" : [""],
  "FP" : "1/2", 
  "Size" : "G",
  "AC" : 12,
  "HP" : 19, 
  "Speed" : "nage",
  "Alignments" : [],
  "Legendary" : ""}</v>
      </c>
    </row>
    <row r="147" spans="1:16">
      <c r="A147" s="61" t="s">
        <v>4368</v>
      </c>
      <c r="B147" s="298" t="s">
        <v>4369</v>
      </c>
      <c r="C147" s="306">
        <v>5</v>
      </c>
      <c r="D147" s="298" t="s">
        <v>4128</v>
      </c>
      <c r="E147" s="297" t="str">
        <f t="shared" si="6"/>
        <v>Bête</v>
      </c>
      <c r="F147" s="297" t="str">
        <f>VLOOKUP(E147,'Types de monstres'!$A$2:$B$17,2,FALSE)</f>
        <v>BEAST</v>
      </c>
      <c r="G147" s="297" t="str">
        <f t="shared" si="7"/>
        <v/>
      </c>
      <c r="H147" s="297" t="str">
        <f>IF(OR(G147="",G147="toute race"),"",VLOOKUP(G147,'Types de monstres'!$F$2:$G$49,2,FALSE))</f>
        <v/>
      </c>
      <c r="I147" s="298" t="s">
        <v>4149</v>
      </c>
      <c r="J147" s="300">
        <v>14</v>
      </c>
      <c r="K147" s="300">
        <v>85</v>
      </c>
      <c r="L147" s="298" t="s">
        <v>4113</v>
      </c>
      <c r="M147" s="298" t="s">
        <v>4130</v>
      </c>
      <c r="N147" s="297" t="str">
        <f>IF(M147="sans alignement","",IF(M147="tout alignement", """1_LB"", ""2_NB"", ""3_CB"", ""4_LN"", ""5_NN"", ""6_CN"", ""7_LM"", ""8_NM"", ""9_CM""",IF(M147="tout alignement non bon", """4_LN"", ""5_NN"", ""6_CN"", ""7_LM"", ""8_NM"", ""9_CM""",IF(M147="tout alignement mauvais", """7_LM"", ""8_NM"", ""9_CM""",IF(M147="tout alignement chaotique", """3_CB"", ""6_CN"", ""9_CM""",IF(M147="tout alignement non loyal", """2_NB"", ""3_CB"", ""5_NN"", ""6_CN"", ""8_NM"", ""9_CM""",""""&amp;VLOOKUP(M147,Alignements!$A$2:$B$10,2, FALSE)&amp;""""))))))</f>
        <v/>
      </c>
      <c r="O147" s="298"/>
      <c r="P147" t="str">
        <f t="shared" si="8"/>
        <v>"Crocodile géant": {
  "Name" : "Crocodile géant",
  "VO" : "Giant Crocodile",
  "Family" : "BEAST",
  "Species" : [""],
  "FP" : "5", 
  "Size" : "TG",
  "AC" : 14,
  "HP" : 85, 
  "Speed" : "nage",
  "Alignments" : [],
  "Legendary" : ""}</v>
      </c>
    </row>
    <row r="148" spans="1:16">
      <c r="A148" s="301" t="s">
        <v>4370</v>
      </c>
      <c r="B148" s="297" t="s">
        <v>4370</v>
      </c>
      <c r="C148" s="305">
        <v>14</v>
      </c>
      <c r="D148" s="297" t="s">
        <v>4136</v>
      </c>
      <c r="E148" s="297" t="str">
        <f t="shared" si="6"/>
        <v>Fiélon</v>
      </c>
      <c r="F148" s="297" t="str">
        <f>VLOOKUP(E148,'Types de monstres'!$A$2:$B$17,2,FALSE)</f>
        <v>FIEND</v>
      </c>
      <c r="G148" s="297" t="str">
        <f t="shared" si="7"/>
        <v>démon</v>
      </c>
      <c r="H148" s="297" t="str">
        <f>IF(OR(G148="",G148="toute race"),"",VLOOKUP(G148,'Types de monstres'!$F$2:$G$49,2,FALSE))</f>
        <v>DAEMON</v>
      </c>
      <c r="I148" s="297" t="s">
        <v>4371</v>
      </c>
      <c r="J148" s="302">
        <v>15</v>
      </c>
      <c r="K148" s="302">
        <v>297</v>
      </c>
      <c r="L148" s="297" t="s">
        <v>4113</v>
      </c>
      <c r="M148" s="297" t="s">
        <v>4137</v>
      </c>
      <c r="N148" s="297" t="str">
        <f>IF(M148="sans alignement","",IF(M148="tout alignement", """1_LB"", ""2_NB"", ""3_CB"", ""4_LN"", ""5_NN"", ""6_CN"", ""7_LM"", ""8_NM"", ""9_CM""",IF(M148="tout alignement non bon", """4_LN"", ""5_NN"", ""6_CN"", ""7_LM"", ""8_NM"", ""9_CM""",IF(M148="tout alignement mauvais", """7_LM"", ""8_NM"", ""9_CM""",IF(M148="tout alignement chaotique", """3_CB"", ""6_CN"", ""9_CM""",IF(M148="tout alignement non loyal", """2_NB"", ""3_CB"", ""5_NN"", ""6_CN"", ""8_NM"", ""9_CM""",""""&amp;VLOOKUP(M148,Alignements!$A$2:$B$10,2, FALSE)&amp;""""))))))</f>
        <v>"9_CM"</v>
      </c>
      <c r="O148" s="297"/>
      <c r="P148" t="str">
        <f t="shared" si="8"/>
        <v>"Crokek'toeck": {
  "Name" : "Crokek'toeck",
  "VO" : "Crokek'toeck",
  "Family" : "FIEND",
  "Species" : ["DAEMON"],
  "FP" : "14", 
  "Size" : "Gig",
  "AC" : 15,
  "HP" : 297, 
  "Speed" : "nage",
  "Alignments" : ["9_CM"],
  "Legendary" : ""}</v>
      </c>
    </row>
    <row r="149" spans="1:16">
      <c r="A149" s="299" t="s">
        <v>4372</v>
      </c>
      <c r="B149" s="298" t="s">
        <v>4373</v>
      </c>
      <c r="C149" s="306" t="s">
        <v>5619</v>
      </c>
      <c r="D149" s="298" t="s">
        <v>4253</v>
      </c>
      <c r="E149" s="297" t="str">
        <f t="shared" si="6"/>
        <v>Fée</v>
      </c>
      <c r="F149" s="297" t="str">
        <f>VLOOKUP(E149,'Types de monstres'!$A$2:$B$17,2,FALSE)</f>
        <v>FAIRY</v>
      </c>
      <c r="G149" s="297" t="str">
        <f t="shared" si="7"/>
        <v/>
      </c>
      <c r="H149" s="297" t="str">
        <f>IF(OR(G149="",G149="toute race"),"",VLOOKUP(G149,'Types de monstres'!$F$2:$G$49,2,FALSE))</f>
        <v/>
      </c>
      <c r="I149" s="298" t="s">
        <v>4129</v>
      </c>
      <c r="J149" s="300">
        <v>14</v>
      </c>
      <c r="K149" s="300">
        <v>18</v>
      </c>
      <c r="L149" s="298"/>
      <c r="M149" s="298" t="s">
        <v>4243</v>
      </c>
      <c r="N149" s="297" t="str">
        <f>IF(M149="sans alignement","",IF(M149="tout alignement", """1_LB"", ""2_NB"", ""3_CB"", ""4_LN"", ""5_NN"", ""6_CN"", ""7_LM"", ""8_NM"", ""9_CM""",IF(M149="tout alignement non bon", """4_LN"", ""5_NN"", ""6_CN"", ""7_LM"", ""8_NM"", ""9_CM""",IF(M149="tout alignement mauvais", """7_LM"", ""8_NM"", ""9_CM""",IF(M149="tout alignement chaotique", """3_CB"", ""6_CN"", ""9_CM""",IF(M149="tout alignement non loyal", """2_NB"", ""3_CB"", ""5_NN"", ""6_CN"", ""8_NM"", ""9_CM""",""""&amp;VLOOKUP(M149,Alignements!$A$2:$B$10,2, FALSE)&amp;""""))))))</f>
        <v>"6_CN"</v>
      </c>
      <c r="O149" s="298"/>
      <c r="P149" t="str">
        <f t="shared" si="8"/>
        <v>"Croque-mitaine": {
  "Name" : "Croque-mitaine",
  "VO" : "Boggle",
  "Family" : "FAIRY",
  "Species" : [""],
  "FP" : "1/8", 
  "Size" : "P",
  "AC" : 14,
  "HP" : 18, 
  "Speed" : "",
  "Alignments" : ["6_CN"],
  "Legendary" : ""}</v>
      </c>
    </row>
    <row r="150" spans="1:16">
      <c r="A150" s="61" t="s">
        <v>4374</v>
      </c>
      <c r="B150" s="297" t="s">
        <v>4375</v>
      </c>
      <c r="C150" s="305">
        <v>2</v>
      </c>
      <c r="D150" s="297" t="s">
        <v>4376</v>
      </c>
      <c r="E150" s="297" t="str">
        <f t="shared" si="6"/>
        <v>Vase</v>
      </c>
      <c r="F150" s="297" t="str">
        <f>VLOOKUP(E150,'Types de monstres'!$A$2:$B$17,2,FALSE)</f>
        <v>MUD</v>
      </c>
      <c r="G150" s="297" t="str">
        <f t="shared" si="7"/>
        <v/>
      </c>
      <c r="H150" s="297" t="str">
        <f>IF(OR(G150="",G150="toute race"),"",VLOOKUP(G150,'Types de monstres'!$F$2:$G$49,2,FALSE))</f>
        <v/>
      </c>
      <c r="I150" s="297" t="s">
        <v>4112</v>
      </c>
      <c r="J150" s="302">
        <v>6</v>
      </c>
      <c r="K150" s="302">
        <v>84</v>
      </c>
      <c r="L150" s="297"/>
      <c r="M150" s="297" t="s">
        <v>4130</v>
      </c>
      <c r="N150" s="297" t="str">
        <f>IF(M150="sans alignement","",IF(M150="tout alignement", """1_LB"", ""2_NB"", ""3_CB"", ""4_LN"", ""5_NN"", ""6_CN"", ""7_LM"", ""8_NM"", ""9_CM""",IF(M150="tout alignement non bon", """4_LN"", ""5_NN"", ""6_CN"", ""7_LM"", ""8_NM"", ""9_CM""",IF(M150="tout alignement mauvais", """7_LM"", ""8_NM"", ""9_CM""",IF(M150="tout alignement chaotique", """3_CB"", ""6_CN"", ""9_CM""",IF(M150="tout alignement non loyal", """2_NB"", ""3_CB"", ""5_NN"", ""6_CN"", ""8_NM"", ""9_CM""",""""&amp;VLOOKUP(M150,Alignements!$A$2:$B$10,2, FALSE)&amp;""""))))))</f>
        <v/>
      </c>
      <c r="O150" s="297"/>
      <c r="P150" t="str">
        <f t="shared" si="8"/>
        <v>"Cube gélatineux": {
  "Name" : "Cube gélatineux",
  "VO" : "Gelatinous Cube",
  "Family" : "MUD",
  "Species" : [""],
  "FP" : "2", 
  "Size" : "G",
  "AC" : 6,
  "HP" : 84, 
  "Speed" : "",
  "Alignments" : [],
  "Legendary" : ""}</v>
      </c>
    </row>
    <row r="151" spans="1:16" ht="21">
      <c r="A151" s="61" t="s">
        <v>4377</v>
      </c>
      <c r="B151" s="298" t="s">
        <v>4378</v>
      </c>
      <c r="C151" s="306">
        <v>21</v>
      </c>
      <c r="D151" s="298" t="s">
        <v>4379</v>
      </c>
      <c r="E151" s="297" t="str">
        <f t="shared" si="6"/>
        <v>Créature monstrueuse</v>
      </c>
      <c r="F151" s="297" t="str">
        <f>VLOOKUP(E151,'Types de monstres'!$A$2:$B$17,2,FALSE)</f>
        <v>MONSTROUS_CREATURE</v>
      </c>
      <c r="G151" s="297" t="str">
        <f t="shared" si="7"/>
        <v>titan</v>
      </c>
      <c r="H151" s="297" t="str">
        <f>IF(OR(G151="",G151="toute race"),"",VLOOKUP(G151,'Types de monstres'!$F$2:$G$49,2,FALSE))</f>
        <v>TITAN</v>
      </c>
      <c r="I151" s="298" t="s">
        <v>4371</v>
      </c>
      <c r="J151" s="300">
        <v>20</v>
      </c>
      <c r="K151" s="300">
        <v>297</v>
      </c>
      <c r="L151" s="298" t="s">
        <v>4092</v>
      </c>
      <c r="M151" s="298" t="s">
        <v>4130</v>
      </c>
      <c r="N151" s="297" t="str">
        <f>IF(M151="sans alignement","",IF(M151="tout alignement", """1_LB"", ""2_NB"", ""3_CB"", ""4_LN"", ""5_NN"", ""6_CN"", ""7_LM"", ""8_NM"", ""9_CM""",IF(M151="tout alignement non bon", """4_LN"", ""5_NN"", ""6_CN"", ""7_LM"", ""8_NM"", ""9_CM""",IF(M151="tout alignement mauvais", """7_LM"", ""8_NM"", ""9_CM""",IF(M151="tout alignement chaotique", """3_CB"", ""6_CN"", ""9_CM""",IF(M151="tout alignement non loyal", """2_NB"", ""3_CB"", ""5_NN"", ""6_CN"", ""8_NM"", ""9_CM""",""""&amp;VLOOKUP(M151,Alignements!$A$2:$B$10,2, FALSE)&amp;""""))))))</f>
        <v/>
      </c>
      <c r="O151" s="298" t="s">
        <v>4114</v>
      </c>
      <c r="P151" t="str">
        <f t="shared" si="8"/>
        <v>"Cuirassier astral": {
  "Name" : "Cuirassier astral",
  "VO" : "Astral Dreadnought",
  "Family" : "MONSTROUS_CREATURE",
  "Species" : ["TITAN"],
  "FP" : "21", 
  "Size" : "Gig",
  "AC" : 20,
  "HP" : 297, 
  "Speed" : "vol",
  "Alignments" : [],
  "Legendary" : "Légendaire"}</v>
      </c>
    </row>
    <row r="152" spans="1:16" ht="21">
      <c r="A152" s="61" t="s">
        <v>4380</v>
      </c>
      <c r="B152" s="297" t="s">
        <v>4381</v>
      </c>
      <c r="C152" s="305" t="s">
        <v>5619</v>
      </c>
      <c r="D152" s="297" t="s">
        <v>4108</v>
      </c>
      <c r="E152" s="297" t="str">
        <f t="shared" si="6"/>
        <v>Humanoïde</v>
      </c>
      <c r="F152" s="297" t="str">
        <f>VLOOKUP(E152,'Types de monstres'!$A$2:$B$17,2,FALSE)</f>
        <v>HUMANOID</v>
      </c>
      <c r="G152" s="297" t="str">
        <f t="shared" si="7"/>
        <v>toute race</v>
      </c>
      <c r="H152" s="297" t="str">
        <f>IF(OR(G152="",G152="toute race"),"",VLOOKUP(G152,'Types de monstres'!$F$2:$G$49,2,FALSE))</f>
        <v/>
      </c>
      <c r="I152" s="297" t="s">
        <v>4091</v>
      </c>
      <c r="J152" s="302">
        <v>12</v>
      </c>
      <c r="K152" s="302">
        <v>9</v>
      </c>
      <c r="L152" s="297"/>
      <c r="M152" s="297" t="s">
        <v>4182</v>
      </c>
      <c r="N152" s="297" t="str">
        <f>IF(M152="sans alignement","",IF(M152="tout alignement", """1_LB"", ""2_NB"", ""3_CB"", ""4_LN"", ""5_NN"", ""6_CN"", ""7_LM"", ""8_NM"", ""9_CM""",IF(M152="tout alignement non bon", """4_LN"", ""5_NN"", ""6_CN"", ""7_LM"", ""8_NM"", ""9_CM""",IF(M152="tout alignement mauvais", """7_LM"", ""8_NM"", ""9_CM""",IF(M152="tout alignement chaotique", """3_CB"", ""6_CN"", ""9_CM""",IF(M152="tout alignement non loyal", """2_NB"", ""3_CB"", ""5_NN"", ""6_CN"", ""8_NM"", ""9_CM""",""""&amp;VLOOKUP(M152,Alignements!$A$2:$B$10,2, FALSE)&amp;""""))))))</f>
        <v>"4_LN", "5_NN", "6_CN", "7_LM", "8_NM", "9_CM"</v>
      </c>
      <c r="O152" s="297"/>
      <c r="P152" t="str">
        <f t="shared" si="8"/>
        <v>"Cultiste": {
  "Name" : "Cultiste",
  "VO" : "Cultist",
  "Family" : "HUMANOID",
  "Species" : [""],
  "FP" : "1/8", 
  "Size" : "M",
  "AC" : 12,
  "HP" : 9, 
  "Speed" : "",
  "Alignments" : ["4_LN", "5_NN", "6_CN", "7_LM", "8_NM", "9_CM"],
  "Legendary" : ""}</v>
      </c>
    </row>
    <row r="153" spans="1:16">
      <c r="A153" s="61" t="s">
        <v>4382</v>
      </c>
      <c r="B153" s="298" t="s">
        <v>4383</v>
      </c>
      <c r="C153" s="306">
        <v>6</v>
      </c>
      <c r="D153" s="298" t="s">
        <v>2584</v>
      </c>
      <c r="E153" s="297" t="str">
        <f t="shared" si="6"/>
        <v>Géant</v>
      </c>
      <c r="F153" s="297" t="str">
        <f>VLOOKUP(E153,'Types de monstres'!$A$2:$B$17,2,FALSE)</f>
        <v>GIANT</v>
      </c>
      <c r="G153" s="297" t="str">
        <f t="shared" si="7"/>
        <v/>
      </c>
      <c r="H153" s="297" t="str">
        <f>IF(OR(G153="",G153="toute race"),"",VLOOKUP(G153,'Types de monstres'!$F$2:$G$49,2,FALSE))</f>
        <v/>
      </c>
      <c r="I153" s="298" t="s">
        <v>4149</v>
      </c>
      <c r="J153" s="300">
        <v>14</v>
      </c>
      <c r="K153" s="300">
        <v>138</v>
      </c>
      <c r="L153" s="298"/>
      <c r="M153" s="298" t="s">
        <v>4243</v>
      </c>
      <c r="N153" s="297" t="str">
        <f>IF(M153="sans alignement","",IF(M153="tout alignement", """1_LB"", ""2_NB"", ""3_CB"", ""4_LN"", ""5_NN"", ""6_CN"", ""7_LM"", ""8_NM"", ""9_CM""",IF(M153="tout alignement non bon", """4_LN"", ""5_NN"", ""6_CN"", ""7_LM"", ""8_NM"", ""9_CM""",IF(M153="tout alignement mauvais", """7_LM"", ""8_NM"", ""9_CM""",IF(M153="tout alignement chaotique", """3_CB"", ""6_CN"", ""9_CM""",IF(M153="tout alignement non loyal", """2_NB"", ""3_CB"", ""5_NN"", ""6_CN"", ""8_NM"", ""9_CM""",""""&amp;VLOOKUP(M153,Alignements!$A$2:$B$10,2, FALSE)&amp;""""))))))</f>
        <v>"6_CN"</v>
      </c>
      <c r="O153" s="298"/>
      <c r="P153" t="str">
        <f t="shared" si="8"/>
        <v>"Cyclope": {
  "Name" : "Cyclope",
  "VO" : "Cyclops",
  "Family" : "GIANT",
  "Species" : [""],
  "FP" : "6", 
  "Size" : "TG",
  "AC" : 14,
  "HP" : 138, 
  "Speed" : "",
  "Alignments" : ["6_CN"],
  "Legendary" : ""}</v>
      </c>
    </row>
    <row r="154" spans="1:16">
      <c r="A154" s="301" t="s">
        <v>4384</v>
      </c>
      <c r="B154" s="297" t="s">
        <v>4385</v>
      </c>
      <c r="C154" s="305">
        <v>18</v>
      </c>
      <c r="D154" s="297" t="s">
        <v>4386</v>
      </c>
      <c r="E154" s="297" t="str">
        <f t="shared" si="6"/>
        <v>Humanoïde</v>
      </c>
      <c r="F154" s="297" t="str">
        <f>VLOOKUP(E154,'Types de monstres'!$A$2:$B$17,2,FALSE)</f>
        <v>HUMANOID</v>
      </c>
      <c r="G154" s="297" t="str">
        <f t="shared" si="7"/>
        <v>forgelier</v>
      </c>
      <c r="H154" s="297" t="str">
        <f>IF(OR(G154="",G154="toute race"),"",VLOOKUP(G154,'Types de monstres'!$F$2:$G$49,2,FALSE))</f>
        <v>WARFORGED</v>
      </c>
      <c r="I154" s="297" t="s">
        <v>4091</v>
      </c>
      <c r="J154" s="302">
        <v>19</v>
      </c>
      <c r="K154" s="302">
        <v>195</v>
      </c>
      <c r="L154" s="297"/>
      <c r="M154" s="297" t="s">
        <v>4097</v>
      </c>
      <c r="N154" s="297" t="str">
        <f>IF(M154="sans alignement","",IF(M154="tout alignement", """1_LB"", ""2_NB"", ""3_CB"", ""4_LN"", ""5_NN"", ""6_CN"", ""7_LM"", ""8_NM"", ""9_CM""",IF(M154="tout alignement non bon", """4_LN"", ""5_NN"", ""6_CN"", ""7_LM"", ""8_NM"", ""9_CM""",IF(M154="tout alignement mauvais", """7_LM"", ""8_NM"", ""9_CM""",IF(M154="tout alignement chaotique", """3_CB"", ""6_CN"", ""9_CM""",IF(M154="tout alignement non loyal", """2_NB"", ""3_CB"", ""5_NN"", ""6_CN"", ""8_NM"", ""9_CM""",""""&amp;VLOOKUP(M154,Alignements!$A$2:$B$10,2, FALSE)&amp;""""))))))</f>
        <v>"7_LM"</v>
      </c>
      <c r="O154" s="297"/>
      <c r="P154" t="str">
        <f t="shared" si="8"/>
        <v>"Dame Malmoelle": {
  "Name" : "Dame Malmoelle",
  "VO" : "Lady Illmarrow",
  "Family" : "HUMANOID",
  "Species" : ["WARFORGED"],
  "FP" : "18", 
  "Size" : "M",
  "AC" : 19,
  "HP" : 195, 
  "Speed" : "",
  "Alignments" : ["7_LM"],
  "Legendary" : ""}</v>
      </c>
    </row>
    <row r="155" spans="1:16">
      <c r="A155" s="61" t="s">
        <v>4387</v>
      </c>
      <c r="B155" s="298" t="s">
        <v>4387</v>
      </c>
      <c r="C155" s="306">
        <v>11</v>
      </c>
      <c r="D155" s="298" t="s">
        <v>4189</v>
      </c>
      <c r="E155" s="297" t="str">
        <f t="shared" si="6"/>
        <v>Élémentaire</v>
      </c>
      <c r="F155" s="297" t="str">
        <f>VLOOKUP(E155,'Types de monstres'!$A$2:$B$17,2,FALSE)</f>
        <v>ELEMENTARY</v>
      </c>
      <c r="G155" s="297" t="str">
        <f t="shared" si="7"/>
        <v/>
      </c>
      <c r="H155" s="297" t="str">
        <f>IF(OR(G155="",G155="toute race"),"",VLOOKUP(G155,'Types de monstres'!$F$2:$G$49,2,FALSE))</f>
        <v/>
      </c>
      <c r="I155" s="298" t="s">
        <v>4112</v>
      </c>
      <c r="J155" s="300">
        <v>18</v>
      </c>
      <c r="K155" s="300">
        <v>187</v>
      </c>
      <c r="L155" s="298" t="s">
        <v>4092</v>
      </c>
      <c r="M155" s="298" t="s">
        <v>4118</v>
      </c>
      <c r="N155" s="297" t="str">
        <f>IF(M155="sans alignement","",IF(M155="tout alignement", """1_LB"", ""2_NB"", ""3_CB"", ""4_LN"", ""5_NN"", ""6_CN"", ""7_LM"", ""8_NM"", ""9_CM""",IF(M155="tout alignement non bon", """4_LN"", ""5_NN"", ""6_CN"", ""7_LM"", ""8_NM"", ""9_CM""",IF(M155="tout alignement mauvais", """7_LM"", ""8_NM"", ""9_CM""",IF(M155="tout alignement chaotique", """3_CB"", ""6_CN"", ""9_CM""",IF(M155="tout alignement non loyal", """2_NB"", ""3_CB"", ""5_NN"", ""6_CN"", ""8_NM"", ""9_CM""",""""&amp;VLOOKUP(M155,Alignements!$A$2:$B$10,2, FALSE)&amp;""""))))))</f>
        <v>"8_NM"</v>
      </c>
      <c r="O155" s="298"/>
      <c r="P155" t="str">
        <f t="shared" si="8"/>
        <v>"Dao": {
  "Name" : "Dao",
  "VO" : "Dao",
  "Family" : "ELEMENTARY",
  "Species" : [""],
  "FP" : "11", 
  "Size" : "G",
  "AC" : 18,
  "HP" : 187, 
  "Speed" : "vol",
  "Alignments" : ["8_NM"],
  "Legendary" : ""}</v>
      </c>
    </row>
    <row r="156" spans="1:16">
      <c r="A156" s="61" t="s">
        <v>4388</v>
      </c>
      <c r="B156" s="297" t="s">
        <v>4389</v>
      </c>
      <c r="C156" s="305" t="s">
        <v>5619</v>
      </c>
      <c r="D156" s="297" t="s">
        <v>4128</v>
      </c>
      <c r="E156" s="297" t="str">
        <f t="shared" si="6"/>
        <v>Bête</v>
      </c>
      <c r="F156" s="297" t="str">
        <f>VLOOKUP(E156,'Types de monstres'!$A$2:$B$17,2,FALSE)</f>
        <v>BEAST</v>
      </c>
      <c r="G156" s="297" t="str">
        <f t="shared" si="7"/>
        <v/>
      </c>
      <c r="H156" s="297" t="str">
        <f>IF(OR(G156="",G156="toute race"),"",VLOOKUP(G156,'Types de monstres'!$F$2:$G$49,2,FALSE))</f>
        <v/>
      </c>
      <c r="I156" s="297" t="s">
        <v>4091</v>
      </c>
      <c r="J156" s="302">
        <v>12</v>
      </c>
      <c r="K156" s="302">
        <v>11</v>
      </c>
      <c r="L156" s="297" t="s">
        <v>4113</v>
      </c>
      <c r="M156" s="297" t="s">
        <v>4130</v>
      </c>
      <c r="N156" s="297" t="str">
        <f>IF(M156="sans alignement","",IF(M156="tout alignement", """1_LB"", ""2_NB"", ""3_CB"", ""4_LN"", ""5_NN"", ""6_CN"", ""7_LM"", ""8_NM"", ""9_CM""",IF(M156="tout alignement non bon", """4_LN"", ""5_NN"", ""6_CN"", ""7_LM"", ""8_NM"", ""9_CM""",IF(M156="tout alignement mauvais", """7_LM"", ""8_NM"", ""9_CM""",IF(M156="tout alignement chaotique", """3_CB"", ""6_CN"", ""9_CM""",IF(M156="tout alignement non loyal", """2_NB"", ""3_CB"", ""5_NN"", ""6_CN"", ""8_NM"", ""9_CM""",""""&amp;VLOOKUP(M156,Alignements!$A$2:$B$10,2, FALSE)&amp;""""))))))</f>
        <v/>
      </c>
      <c r="O156" s="297"/>
      <c r="P156" t="str">
        <f t="shared" si="8"/>
        <v>"Dauphin": {
  "Name" : "Dauphin",
  "VO" : "Dolphin",
  "Family" : "BEAST",
  "Species" : [""],
  "FP" : "1/8", 
  "Size" : "M",
  "AC" : 12,
  "HP" : 11, 
  "Speed" : "nage",
  "Alignments" : [],
  "Legendary" : ""}</v>
      </c>
    </row>
    <row r="157" spans="1:16" ht="21">
      <c r="A157" s="61" t="s">
        <v>4390</v>
      </c>
      <c r="B157" s="298" t="s">
        <v>4391</v>
      </c>
      <c r="C157" s="306">
        <v>5</v>
      </c>
      <c r="D157" s="298" t="s">
        <v>4242</v>
      </c>
      <c r="E157" s="297" t="str">
        <f t="shared" si="6"/>
        <v>Humanoïde</v>
      </c>
      <c r="F157" s="297" t="str">
        <f>VLOOKUP(E157,'Types de monstres'!$A$2:$B$17,2,FALSE)</f>
        <v>HUMANOID</v>
      </c>
      <c r="G157" s="297" t="str">
        <f t="shared" si="7"/>
        <v>humain</v>
      </c>
      <c r="H157" s="297" t="str">
        <f>IF(OR(G157="",G157="toute race"),"",VLOOKUP(G157,'Types de monstres'!$F$2:$G$49,2,FALSE))</f>
        <v>HUMAN</v>
      </c>
      <c r="I157" s="298" t="s">
        <v>4091</v>
      </c>
      <c r="J157" s="300">
        <v>18</v>
      </c>
      <c r="K157" s="300">
        <v>65</v>
      </c>
      <c r="L157" s="298"/>
      <c r="M157" s="298" t="s">
        <v>4109</v>
      </c>
      <c r="N157" s="297" t="str">
        <f>IF(M157="sans alignement","",IF(M157="tout alignement", """1_LB"", ""2_NB"", ""3_CB"", ""4_LN"", ""5_NN"", ""6_CN"", ""7_LM"", ""8_NM"", ""9_CM""",IF(M157="tout alignement non bon", """4_LN"", ""5_NN"", ""6_CN"", ""7_LM"", ""8_NM"", ""9_CM""",IF(M157="tout alignement mauvais", """7_LM"", ""8_NM"", ""9_CM""",IF(M157="tout alignement chaotique", """3_CB"", ""6_CN"", ""9_CM""",IF(M157="tout alignement non loyal", """2_NB"", ""3_CB"", ""5_NN"", ""6_CN"", ""8_NM"", ""9_CM""",""""&amp;VLOOKUP(M157,Alignements!$A$2:$B$10,2, FALSE)&amp;""""))))))</f>
        <v>"1_LB", "2_NB", "3_CB", "4_LN", "5_NN", "6_CN", "7_LM", "8_NM", "9_CM"</v>
      </c>
      <c r="O157" s="298"/>
      <c r="P157" t="str">
        <f t="shared" si="8"/>
        <v>"Demi-dragon rouge, vétéran": {
  "Name" : "Demi-dragon rouge, vétéran",
  "VO" : "Half-Red Dragon Veteran",
  "Family" : "HUMANOID",
  "Species" : ["HUMAN"],
  "FP" : "5", 
  "Size" : "M",
  "AC" : 18,
  "HP" : 65, 
  "Speed" : "",
  "Alignments" : ["1_LB", "2_NB", "3_CB", "4_LN", "5_NN", "6_CN", "7_LM", "8_NM", "9_CM"],
  "Legendary" : ""}</v>
      </c>
    </row>
    <row r="158" spans="1:16">
      <c r="A158" s="61" t="s">
        <v>4392</v>
      </c>
      <c r="B158" s="297" t="s">
        <v>4393</v>
      </c>
      <c r="C158" s="305">
        <v>18</v>
      </c>
      <c r="D158" s="297" t="s">
        <v>4117</v>
      </c>
      <c r="E158" s="297" t="str">
        <f t="shared" si="6"/>
        <v>Mort-vivant</v>
      </c>
      <c r="F158" s="297" t="str">
        <f>VLOOKUP(E158,'Types de monstres'!$A$2:$B$17,2,FALSE)</f>
        <v>UNDEAD</v>
      </c>
      <c r="G158" s="297" t="str">
        <f t="shared" si="7"/>
        <v/>
      </c>
      <c r="H158" s="297" t="str">
        <f>IF(OR(G158="",G158="toute race"),"",VLOOKUP(G158,'Types de monstres'!$F$2:$G$49,2,FALSE))</f>
        <v/>
      </c>
      <c r="I158" s="297" t="s">
        <v>4154</v>
      </c>
      <c r="J158" s="302">
        <v>20</v>
      </c>
      <c r="K158" s="302">
        <v>80</v>
      </c>
      <c r="L158" s="297" t="s">
        <v>4092</v>
      </c>
      <c r="M158" s="297" t="s">
        <v>4118</v>
      </c>
      <c r="N158" s="297" t="str">
        <f>IF(M158="sans alignement","",IF(M158="tout alignement", """1_LB"", ""2_NB"", ""3_CB"", ""4_LN"", ""5_NN"", ""6_CN"", ""7_LM"", ""8_NM"", ""9_CM""",IF(M158="tout alignement non bon", """4_LN"", ""5_NN"", ""6_CN"", ""7_LM"", ""8_NM"", ""9_CM""",IF(M158="tout alignement mauvais", """7_LM"", ""8_NM"", ""9_CM""",IF(M158="tout alignement chaotique", """3_CB"", ""6_CN"", ""9_CM""",IF(M158="tout alignement non loyal", """2_NB"", ""3_CB"", ""5_NN"", ""6_CN"", ""8_NM"", ""9_CM""",""""&amp;VLOOKUP(M158,Alignements!$A$2:$B$10,2, FALSE)&amp;""""))))))</f>
        <v>"8_NM"</v>
      </c>
      <c r="O158" s="297" t="s">
        <v>4114</v>
      </c>
      <c r="P158" t="str">
        <f t="shared" si="8"/>
        <v>"Demi-liche": {
  "Name" : "Demi-liche",
  "VO" : "Demilich",
  "Family" : "UNDEAD",
  "Species" : [""],
  "FP" : "18", 
  "Size" : "TP",
  "AC" : 20,
  "HP" : 80, 
  "Speed" : "vol",
  "Alignments" : ["8_NM"],
  "Legendary" : "Légendaire"}</v>
      </c>
    </row>
    <row r="159" spans="1:16" ht="21">
      <c r="A159" s="61" t="s">
        <v>4394</v>
      </c>
      <c r="B159" s="298" t="s">
        <v>4395</v>
      </c>
      <c r="C159" s="306">
        <v>1</v>
      </c>
      <c r="D159" s="298" t="s">
        <v>2584</v>
      </c>
      <c r="E159" s="297" t="str">
        <f t="shared" si="6"/>
        <v>Géant</v>
      </c>
      <c r="F159" s="297" t="str">
        <f>VLOOKUP(E159,'Types de monstres'!$A$2:$B$17,2,FALSE)</f>
        <v>GIANT</v>
      </c>
      <c r="G159" s="297" t="str">
        <f t="shared" si="7"/>
        <v/>
      </c>
      <c r="H159" s="297" t="str">
        <f>IF(OR(G159="",G159="toute race"),"",VLOOKUP(G159,'Types de monstres'!$F$2:$G$49,2,FALSE))</f>
        <v/>
      </c>
      <c r="I159" s="298" t="s">
        <v>4112</v>
      </c>
      <c r="J159" s="300">
        <v>12</v>
      </c>
      <c r="K159" s="300">
        <v>30</v>
      </c>
      <c r="L159" s="298"/>
      <c r="M159" s="298" t="s">
        <v>4230</v>
      </c>
      <c r="N159" s="297" t="str">
        <f>IF(M159="sans alignement","",IF(M159="tout alignement", """1_LB"", ""2_NB"", ""3_CB"", ""4_LN"", ""5_NN"", ""6_CN"", ""7_LM"", ""8_NM"", ""9_CM""",IF(M159="tout alignement non bon", """4_LN"", ""5_NN"", ""6_CN"", ""7_LM"", ""8_NM"", ""9_CM""",IF(M159="tout alignement mauvais", """7_LM"", ""8_NM"", ""9_CM""",IF(M159="tout alignement chaotique", """3_CB"", ""6_CN"", ""9_CM""",IF(M159="tout alignement non loyal", """2_NB"", ""3_CB"", ""5_NN"", ""6_CN"", ""8_NM"", ""9_CM""",""""&amp;VLOOKUP(M159,Alignements!$A$2:$B$10,2, FALSE)&amp;""""))))))</f>
        <v>"3_CB", "6_CN", "9_CM"</v>
      </c>
      <c r="O159" s="298"/>
      <c r="P159" t="str">
        <f t="shared" si="8"/>
        <v>"Demi-ogre": {
  "Name" : "Demi-ogre",
  "VO" : "Half-Ogre",
  "Family" : "GIANT",
  "Species" : [""],
  "FP" : "1", 
  "Size" : "G",
  "AC" : 12,
  "HP" : 30, 
  "Speed" : "",
  "Alignments" : ["3_CB", "6_CN", "9_CM"],
  "Legendary" : ""}</v>
      </c>
    </row>
    <row r="160" spans="1:16">
      <c r="A160" s="301" t="s">
        <v>4396</v>
      </c>
      <c r="B160" s="297" t="s">
        <v>4397</v>
      </c>
      <c r="C160" s="305">
        <v>26</v>
      </c>
      <c r="D160" s="297" t="s">
        <v>4136</v>
      </c>
      <c r="E160" s="297" t="str">
        <f t="shared" si="6"/>
        <v>Fiélon</v>
      </c>
      <c r="F160" s="297" t="str">
        <f>VLOOKUP(E160,'Types de monstres'!$A$2:$B$17,2,FALSE)</f>
        <v>FIEND</v>
      </c>
      <c r="G160" s="297" t="str">
        <f t="shared" si="7"/>
        <v>démon</v>
      </c>
      <c r="H160" s="297" t="str">
        <f>IF(OR(G160="",G160="toute race"),"",VLOOKUP(G160,'Types de monstres'!$F$2:$G$49,2,FALSE))</f>
        <v>DAEMON</v>
      </c>
      <c r="I160" s="297" t="s">
        <v>4149</v>
      </c>
      <c r="J160" s="302">
        <v>22</v>
      </c>
      <c r="K160" s="302">
        <v>406</v>
      </c>
      <c r="L160" s="297" t="s">
        <v>4113</v>
      </c>
      <c r="M160" s="297" t="s">
        <v>4137</v>
      </c>
      <c r="N160" s="297" t="str">
        <f>IF(M160="sans alignement","",IF(M160="tout alignement", """1_LB"", ""2_NB"", ""3_CB"", ""4_LN"", ""5_NN"", ""6_CN"", ""7_LM"", ""8_NM"", ""9_CM""",IF(M160="tout alignement non bon", """4_LN"", ""5_NN"", ""6_CN"", ""7_LM"", ""8_NM"", ""9_CM""",IF(M160="tout alignement mauvais", """7_LM"", ""8_NM"", ""9_CM""",IF(M160="tout alignement chaotique", """3_CB"", ""6_CN"", ""9_CM""",IF(M160="tout alignement non loyal", """2_NB"", ""3_CB"", ""5_NN"", ""6_CN"", ""8_NM"", ""9_CM""",""""&amp;VLOOKUP(M160,Alignements!$A$2:$B$10,2, FALSE)&amp;""""))))))</f>
        <v>"9_CM"</v>
      </c>
      <c r="O160" s="297"/>
      <c r="P160" t="str">
        <f t="shared" si="8"/>
        <v>"Démogorgon": {
  "Name" : "Démogorgon",
  "VO" : "Demogorgon",
  "Family" : "FIEND",
  "Species" : ["DAEMON"],
  "FP" : "26", 
  "Size" : "TG",
  "AC" : 22,
  "HP" : 406, 
  "Speed" : "nage",
  "Alignments" : ["9_CM"],
  "Legendary" : ""}</v>
      </c>
    </row>
    <row r="161" spans="1:16">
      <c r="A161" s="61" t="s">
        <v>4398</v>
      </c>
      <c r="B161" s="298" t="s">
        <v>4399</v>
      </c>
      <c r="C161" s="306">
        <v>4</v>
      </c>
      <c r="D161" s="298" t="s">
        <v>4136</v>
      </c>
      <c r="E161" s="297" t="str">
        <f t="shared" si="6"/>
        <v>Fiélon</v>
      </c>
      <c r="F161" s="297" t="str">
        <f>VLOOKUP(E161,'Types de monstres'!$A$2:$B$17,2,FALSE)</f>
        <v>FIEND</v>
      </c>
      <c r="G161" s="297" t="str">
        <f t="shared" si="7"/>
        <v>démon</v>
      </c>
      <c r="H161" s="297" t="str">
        <f>IF(OR(G161="",G161="toute race"),"",VLOOKUP(G161,'Types de monstres'!$F$2:$G$49,2,FALSE))</f>
        <v>DAEMON</v>
      </c>
      <c r="I161" s="298" t="s">
        <v>4091</v>
      </c>
      <c r="J161" s="300">
        <v>13</v>
      </c>
      <c r="K161" s="300">
        <v>66</v>
      </c>
      <c r="L161" s="298" t="s">
        <v>4092</v>
      </c>
      <c r="M161" s="298" t="s">
        <v>4137</v>
      </c>
      <c r="N161" s="297" t="str">
        <f>IF(M161="sans alignement","",IF(M161="tout alignement", """1_LB"", ""2_NB"", ""3_CB"", ""4_LN"", ""5_NN"", ""6_CN"", ""7_LM"", ""8_NM"", ""9_CM""",IF(M161="tout alignement non bon", """4_LN"", ""5_NN"", ""6_CN"", ""7_LM"", ""8_NM"", ""9_CM""",IF(M161="tout alignement mauvais", """7_LM"", ""8_NM"", ""9_CM""",IF(M161="tout alignement chaotique", """3_CB"", ""6_CN"", ""9_CM""",IF(M161="tout alignement non loyal", """2_NB"", ""3_CB"", ""5_NN"", ""6_CN"", ""8_NM"", ""9_CM""",""""&amp;VLOOKUP(M161,Alignements!$A$2:$B$10,2, FALSE)&amp;""""))))))</f>
        <v>"9_CM"</v>
      </c>
      <c r="O161" s="298"/>
      <c r="P161" t="str">
        <f t="shared" si="8"/>
        <v>"Démon des ombres": {
  "Name" : "Démon des ombres",
  "VO" : "Shadow Demon",
  "Family" : "FIEND",
  "Species" : ["DAEMON"],
  "FP" : "4", 
  "Size" : "M",
  "AC" : 13,
  "HP" : 66, 
  "Speed" : "vol",
  "Alignments" : ["9_CM"],
  "Legendary" : ""}</v>
      </c>
    </row>
    <row r="162" spans="1:16">
      <c r="A162" s="301" t="s">
        <v>4400</v>
      </c>
      <c r="B162" s="297" t="s">
        <v>4401</v>
      </c>
      <c r="C162" s="305">
        <v>1</v>
      </c>
      <c r="D162" s="297" t="s">
        <v>4136</v>
      </c>
      <c r="E162" s="297" t="str">
        <f t="shared" si="6"/>
        <v>Fiélon</v>
      </c>
      <c r="F162" s="297" t="str">
        <f>VLOOKUP(E162,'Types de monstres'!$A$2:$B$17,2,FALSE)</f>
        <v>FIEND</v>
      </c>
      <c r="G162" s="297" t="str">
        <f t="shared" si="7"/>
        <v>démon</v>
      </c>
      <c r="H162" s="297" t="str">
        <f>IF(OR(G162="",G162="toute race"),"",VLOOKUP(G162,'Types de monstres'!$F$2:$G$49,2,FALSE))</f>
        <v>DAEMON</v>
      </c>
      <c r="I162" s="297" t="s">
        <v>4091</v>
      </c>
      <c r="J162" s="302">
        <v>13</v>
      </c>
      <c r="K162" s="302">
        <v>33</v>
      </c>
      <c r="L162" s="297"/>
      <c r="M162" s="297" t="s">
        <v>4137</v>
      </c>
      <c r="N162" s="297" t="str">
        <f>IF(M162="sans alignement","",IF(M162="tout alignement", """1_LB"", ""2_NB"", ""3_CB"", ""4_LN"", ""5_NN"", ""6_CN"", ""7_LM"", ""8_NM"", ""9_CM""",IF(M162="tout alignement non bon", """4_LN"", ""5_NN"", ""6_CN"", ""7_LM"", ""8_NM"", ""9_CM""",IF(M162="tout alignement mauvais", """7_LM"", ""8_NM"", ""9_CM""",IF(M162="tout alignement chaotique", """3_CB"", ""6_CN"", ""9_CM""",IF(M162="tout alignement non loyal", """2_NB"", ""3_CB"", ""5_NN"", ""6_CN"", ""8_NM"", ""9_CM""",""""&amp;VLOOKUP(M162,Alignements!$A$2:$B$10,2, FALSE)&amp;""""))))))</f>
        <v>"9_CM"</v>
      </c>
      <c r="O162" s="297"/>
      <c r="P162" t="str">
        <f t="shared" si="8"/>
        <v>"Démon glouton": {
  "Name" : "Démon glouton",
  "VO" : "Maw Demon",
  "Family" : "FIEND",
  "Species" : ["DAEMON"],
  "FP" : "1", 
  "Size" : "M",
  "AC" : 13,
  "HP" : 33, 
  "Speed" : "",
  "Alignments" : ["9_CM"],
  "Legendary" : ""}</v>
      </c>
    </row>
    <row r="163" spans="1:16">
      <c r="A163" s="299" t="s">
        <v>4402</v>
      </c>
      <c r="B163" s="298" t="s">
        <v>4402</v>
      </c>
      <c r="C163" s="306" t="s">
        <v>5618</v>
      </c>
      <c r="D163" s="298" t="s">
        <v>4403</v>
      </c>
      <c r="E163" s="297" t="str">
        <f t="shared" si="6"/>
        <v>Humanoïde</v>
      </c>
      <c r="F163" s="297" t="str">
        <f>VLOOKUP(E163,'Types de monstres'!$A$2:$B$17,2,FALSE)</f>
        <v>HUMANOID</v>
      </c>
      <c r="G163" s="297" t="str">
        <f t="shared" si="7"/>
        <v>derro</v>
      </c>
      <c r="H163" s="297" t="str">
        <f>IF(OR(G163="",G163="toute race"),"",VLOOKUP(G163,'Types de monstres'!$F$2:$G$49,2,FALSE))</f>
        <v>DERRO</v>
      </c>
      <c r="I163" s="298" t="s">
        <v>4129</v>
      </c>
      <c r="J163" s="300">
        <v>13</v>
      </c>
      <c r="K163" s="300">
        <v>13</v>
      </c>
      <c r="L163" s="298"/>
      <c r="M163" s="298" t="s">
        <v>4137</v>
      </c>
      <c r="N163" s="297" t="str">
        <f>IF(M163="sans alignement","",IF(M163="tout alignement", """1_LB"", ""2_NB"", ""3_CB"", ""4_LN"", ""5_NN"", ""6_CN"", ""7_LM"", ""8_NM"", ""9_CM""",IF(M163="tout alignement non bon", """4_LN"", ""5_NN"", ""6_CN"", ""7_LM"", ""8_NM"", ""9_CM""",IF(M163="tout alignement mauvais", """7_LM"", ""8_NM"", ""9_CM""",IF(M163="tout alignement chaotique", """3_CB"", ""6_CN"", ""9_CM""",IF(M163="tout alignement non loyal", """2_NB"", ""3_CB"", ""5_NN"", ""6_CN"", ""8_NM"", ""9_CM""",""""&amp;VLOOKUP(M163,Alignements!$A$2:$B$10,2, FALSE)&amp;""""))))))</f>
        <v>"9_CM"</v>
      </c>
      <c r="O163" s="298"/>
      <c r="P163" t="str">
        <f t="shared" si="8"/>
        <v>"Derro": {
  "Name" : "Derro",
  "VO" : "Derro",
  "Family" : "HUMANOID",
  "Species" : ["DERRO"],
  "FP" : "1/4", 
  "Size" : "P",
  "AC" : 13,
  "HP" : 13, 
  "Speed" : "",
  "Alignments" : ["9_CM"],
  "Legendary" : ""}</v>
      </c>
    </row>
    <row r="164" spans="1:16">
      <c r="A164" s="301" t="s">
        <v>4404</v>
      </c>
      <c r="B164" s="297" t="s">
        <v>4405</v>
      </c>
      <c r="C164" s="305">
        <v>3</v>
      </c>
      <c r="D164" s="297" t="s">
        <v>4403</v>
      </c>
      <c r="E164" s="297" t="str">
        <f t="shared" si="6"/>
        <v>Humanoïde</v>
      </c>
      <c r="F164" s="297" t="str">
        <f>VLOOKUP(E164,'Types de monstres'!$A$2:$B$17,2,FALSE)</f>
        <v>HUMANOID</v>
      </c>
      <c r="G164" s="297" t="str">
        <f t="shared" si="7"/>
        <v>derro</v>
      </c>
      <c r="H164" s="297" t="str">
        <f>IF(OR(G164="",G164="toute race"),"",VLOOKUP(G164,'Types de monstres'!$F$2:$G$49,2,FALSE))</f>
        <v>DERRO</v>
      </c>
      <c r="I164" s="297" t="s">
        <v>4129</v>
      </c>
      <c r="J164" s="302">
        <v>13</v>
      </c>
      <c r="K164" s="302">
        <v>36</v>
      </c>
      <c r="L164" s="297"/>
      <c r="M164" s="297" t="s">
        <v>4137</v>
      </c>
      <c r="N164" s="297" t="str">
        <f>IF(M164="sans alignement","",IF(M164="tout alignement", """1_LB"", ""2_NB"", ""3_CB"", ""4_LN"", ""5_NN"", ""6_CN"", ""7_LM"", ""8_NM"", ""9_CM""",IF(M164="tout alignement non bon", """4_LN"", ""5_NN"", ""6_CN"", ""7_LM"", ""8_NM"", ""9_CM""",IF(M164="tout alignement mauvais", """7_LM"", ""8_NM"", ""9_CM""",IF(M164="tout alignement chaotique", """3_CB"", ""6_CN"", ""9_CM""",IF(M164="tout alignement non loyal", """2_NB"", ""3_CB"", ""5_NN"", ""6_CN"", ""8_NM"", ""9_CM""",""""&amp;VLOOKUP(M164,Alignements!$A$2:$B$10,2, FALSE)&amp;""""))))))</f>
        <v>"9_CM"</v>
      </c>
      <c r="O164" s="297"/>
      <c r="P164" t="str">
        <f t="shared" si="8"/>
        <v>"Derro, savant": {
  "Name" : "Derro, savant",
  "VO" : "Derro Savant",
  "Family" : "HUMANOID",
  "Species" : ["DERRO"],
  "FP" : "3", 
  "Size" : "P",
  "AC" : 13,
  "HP" : 36, 
  "Speed" : "",
  "Alignments" : ["9_CM"],
  "Legendary" : ""}</v>
      </c>
    </row>
    <row r="165" spans="1:16">
      <c r="A165" s="61" t="s">
        <v>4406</v>
      </c>
      <c r="B165" s="298" t="s">
        <v>4406</v>
      </c>
      <c r="C165" s="306">
        <v>6</v>
      </c>
      <c r="D165" s="298" t="s">
        <v>4242</v>
      </c>
      <c r="E165" s="297" t="str">
        <f t="shared" si="6"/>
        <v>Humanoïde</v>
      </c>
      <c r="F165" s="297" t="str">
        <f>VLOOKUP(E165,'Types de monstres'!$A$2:$B$17,2,FALSE)</f>
        <v>HUMANOID</v>
      </c>
      <c r="G165" s="297" t="str">
        <f t="shared" si="7"/>
        <v>humain</v>
      </c>
      <c r="H165" s="297" t="str">
        <f>IF(OR(G165="",G165="toute race"),"",VLOOKUP(G165,'Types de monstres'!$F$2:$G$49,2,FALSE))</f>
        <v>HUMAN</v>
      </c>
      <c r="I165" s="298" t="s">
        <v>4091</v>
      </c>
      <c r="J165" s="300">
        <v>12</v>
      </c>
      <c r="K165" s="300">
        <v>49</v>
      </c>
      <c r="L165" s="298"/>
      <c r="M165" s="298" t="s">
        <v>4193</v>
      </c>
      <c r="N165" s="297" t="str">
        <f>IF(M165="sans alignement","",IF(M165="tout alignement", """1_LB"", ""2_NB"", ""3_CB"", ""4_LN"", ""5_NN"", ""6_CN"", ""7_LM"", ""8_NM"", ""9_CM""",IF(M165="tout alignement non bon", """4_LN"", ""5_NN"", ""6_CN"", ""7_LM"", ""8_NM"", ""9_CM""",IF(M165="tout alignement mauvais", """7_LM"", ""8_NM"", ""9_CM""",IF(M165="tout alignement chaotique", """3_CB"", ""6_CN"", ""9_CM""",IF(M165="tout alignement non loyal", """2_NB"", ""3_CB"", ""5_NN"", ""6_CN"", ""8_NM"", ""9_CM""",""""&amp;VLOOKUP(M165,Alignements!$A$2:$B$10,2, FALSE)&amp;""""))))))</f>
        <v>"5_NN"</v>
      </c>
      <c r="O165" s="298"/>
      <c r="P165" t="str">
        <f t="shared" si="8"/>
        <v>"Deslor": {
  "Name" : "Deslor",
  "VO" : "Deslor",
  "Family" : "HUMANOID",
  "Species" : ["HUMAN"],
  "FP" : "6", 
  "Size" : "M",
  "AC" : 12,
  "HP" : 49, 
  "Speed" : "",
  "Alignments" : ["5_NN"],
  "Legendary" : ""}</v>
      </c>
    </row>
    <row r="166" spans="1:16">
      <c r="A166" s="61" t="s">
        <v>4407</v>
      </c>
      <c r="B166" s="297" t="s">
        <v>4408</v>
      </c>
      <c r="C166" s="305">
        <v>3</v>
      </c>
      <c r="D166" s="297" t="s">
        <v>2914</v>
      </c>
      <c r="E166" s="297" t="str">
        <f t="shared" si="6"/>
        <v>Fiélon</v>
      </c>
      <c r="F166" s="297" t="str">
        <f>VLOOKUP(E166,'Types de monstres'!$A$2:$B$17,2,FALSE)</f>
        <v>FIEND</v>
      </c>
      <c r="G166" s="297" t="str">
        <f t="shared" si="7"/>
        <v/>
      </c>
      <c r="H166" s="297" t="str">
        <f>IF(OR(G166="",G166="toute race"),"",VLOOKUP(G166,'Types de monstres'!$F$2:$G$49,2,FALSE))</f>
        <v/>
      </c>
      <c r="I166" s="297" t="s">
        <v>4112</v>
      </c>
      <c r="J166" s="302">
        <v>13</v>
      </c>
      <c r="K166" s="302">
        <v>68</v>
      </c>
      <c r="L166" s="297" t="s">
        <v>4092</v>
      </c>
      <c r="M166" s="297" t="s">
        <v>4118</v>
      </c>
      <c r="N166" s="297" t="str">
        <f>IF(M166="sans alignement","",IF(M166="tout alignement", """1_LB"", ""2_NB"", ""3_CB"", ""4_LN"", ""5_NN"", ""6_CN"", ""7_LM"", ""8_NM"", ""9_CM""",IF(M166="tout alignement non bon", """4_LN"", ""5_NN"", ""6_CN"", ""7_LM"", ""8_NM"", ""9_CM""",IF(M166="tout alignement mauvais", """7_LM"", ""8_NM"", ""9_CM""",IF(M166="tout alignement chaotique", """3_CB"", ""6_CN"", ""9_CM""",IF(M166="tout alignement non loyal", """2_NB"", ""3_CB"", ""5_NN"", ""6_CN"", ""8_NM"", ""9_CM""",""""&amp;VLOOKUP(M166,Alignements!$A$2:$B$10,2, FALSE)&amp;""""))))))</f>
        <v>"8_NM"</v>
      </c>
      <c r="O166" s="297"/>
      <c r="P166" t="str">
        <f t="shared" si="8"/>
        <v>"Destrier noir": {
  "Name" : "Destrier noir",
  "VO" : "Nightmare",
  "Family" : "FIEND",
  "Species" : [""],
  "FP" : "3", 
  "Size" : "G",
  "AC" : 13,
  "HP" : 68, 
  "Speed" : "vol",
  "Alignments" : ["8_NM"],
  "Legendary" : ""}</v>
      </c>
    </row>
    <row r="167" spans="1:16">
      <c r="A167" s="61" t="s">
        <v>4409</v>
      </c>
      <c r="B167" s="298" t="s">
        <v>4410</v>
      </c>
      <c r="C167" s="306">
        <v>10</v>
      </c>
      <c r="D167" s="298" t="s">
        <v>2598</v>
      </c>
      <c r="E167" s="297" t="str">
        <f t="shared" si="6"/>
        <v>Céleste</v>
      </c>
      <c r="F167" s="297" t="str">
        <f>VLOOKUP(E167,'Types de monstres'!$A$2:$B$17,2,FALSE)</f>
        <v>CELESTIAL</v>
      </c>
      <c r="G167" s="297" t="str">
        <f t="shared" si="7"/>
        <v/>
      </c>
      <c r="H167" s="297" t="str">
        <f>IF(OR(G167="",G167="toute race"),"",VLOOKUP(G167,'Types de monstres'!$F$2:$G$49,2,FALSE))</f>
        <v/>
      </c>
      <c r="I167" s="298" t="s">
        <v>4091</v>
      </c>
      <c r="J167" s="300">
        <v>17</v>
      </c>
      <c r="K167" s="300">
        <v>136</v>
      </c>
      <c r="L167" s="298" t="s">
        <v>4092</v>
      </c>
      <c r="M167" s="298" t="s">
        <v>4318</v>
      </c>
      <c r="N167" s="297" t="str">
        <f>IF(M167="sans alignement","",IF(M167="tout alignement", """1_LB"", ""2_NB"", ""3_CB"", ""4_LN"", ""5_NN"", ""6_CN"", ""7_LM"", ""8_NM"", ""9_CM""",IF(M167="tout alignement non bon", """4_LN"", ""5_NN"", ""6_CN"", ""7_LM"", ""8_NM"", ""9_CM""",IF(M167="tout alignement mauvais", """7_LM"", ""8_NM"", ""9_CM""",IF(M167="tout alignement chaotique", """3_CB"", ""6_CN"", ""9_CM""",IF(M167="tout alignement non loyal", """2_NB"", ""3_CB"", ""5_NN"", ""6_CN"", ""8_NM"", ""9_CM""",""""&amp;VLOOKUP(M167,Alignements!$A$2:$B$10,2, FALSE)&amp;""""))))))</f>
        <v>"1_LB"</v>
      </c>
      <c r="O167" s="298"/>
      <c r="P167" t="str">
        <f t="shared" si="8"/>
        <v>"Déva": {
  "Name" : "Déva",
  "VO" : "Deva",
  "Family" : "CELESTIAL",
  "Species" : [""],
  "FP" : "10", 
  "Size" : "M",
  "AC" : 17,
  "HP" : 136, 
  "Speed" : "vol",
  "Alignments" : ["1_LB"],
  "Legendary" : ""}</v>
      </c>
    </row>
    <row r="168" spans="1:16">
      <c r="A168" s="61" t="s">
        <v>4411</v>
      </c>
      <c r="B168" s="297" t="s">
        <v>4412</v>
      </c>
      <c r="C168" s="305">
        <v>8</v>
      </c>
      <c r="D168" s="297" t="s">
        <v>4108</v>
      </c>
      <c r="E168" s="297" t="str">
        <f t="shared" si="6"/>
        <v>Humanoïde</v>
      </c>
      <c r="F168" s="297" t="str">
        <f>VLOOKUP(E168,'Types de monstres'!$A$2:$B$17,2,FALSE)</f>
        <v>HUMANOID</v>
      </c>
      <c r="G168" s="297" t="str">
        <f t="shared" si="7"/>
        <v>toute race</v>
      </c>
      <c r="H168" s="297" t="str">
        <f>IF(OR(G168="",G168="toute race"),"",VLOOKUP(G168,'Types de monstres'!$F$2:$G$49,2,FALSE))</f>
        <v/>
      </c>
      <c r="I168" s="297" t="s">
        <v>4091</v>
      </c>
      <c r="J168" s="302">
        <v>12</v>
      </c>
      <c r="K168" s="302">
        <v>67</v>
      </c>
      <c r="L168" s="297"/>
      <c r="M168" s="297" t="s">
        <v>4109</v>
      </c>
      <c r="N168" s="297" t="str">
        <f>IF(M168="sans alignement","",IF(M168="tout alignement", """1_LB"", ""2_NB"", ""3_CB"", ""4_LN"", ""5_NN"", ""6_CN"", ""7_LM"", ""8_NM"", ""9_CM""",IF(M168="tout alignement non bon", """4_LN"", ""5_NN"", ""6_CN"", ""7_LM"", ""8_NM"", ""9_CM""",IF(M168="tout alignement mauvais", """7_LM"", ""8_NM"", ""9_CM""",IF(M168="tout alignement chaotique", """3_CB"", ""6_CN"", ""9_CM""",IF(M168="tout alignement non loyal", """2_NB"", ""3_CB"", ""5_NN"", ""6_CN"", ""8_NM"", ""9_CM""",""""&amp;VLOOKUP(M168,Alignements!$A$2:$B$10,2, FALSE)&amp;""""))))))</f>
        <v>"1_LB", "2_NB", "3_CB", "4_LN", "5_NN", "6_CN", "7_LM", "8_NM", "9_CM"</v>
      </c>
      <c r="O168" s="297"/>
      <c r="P168" t="str">
        <f t="shared" si="8"/>
        <v>"Devin": {
  "Name" : "Devin",
  "VO" : "Diviner",
  "Family" : "HUMANOID",
  "Species" : [""],
  "FP" : "8", 
  "Size" : "M",
  "AC" : 12,
  "HP" : 67, 
  "Speed" : "",
  "Alignments" : ["1_LB", "2_NB", "3_CB", "4_LN", "5_NN", "6_CN", "7_LM", "8_NM", "9_CM"],
  "Legendary" : ""}</v>
      </c>
    </row>
    <row r="169" spans="1:16">
      <c r="A169" s="61" t="s">
        <v>4413</v>
      </c>
      <c r="B169" s="298" t="s">
        <v>4414</v>
      </c>
      <c r="C169" s="306">
        <v>13</v>
      </c>
      <c r="D169" s="298" t="s">
        <v>2914</v>
      </c>
      <c r="E169" s="297" t="str">
        <f t="shared" si="6"/>
        <v>Fiélon</v>
      </c>
      <c r="F169" s="297" t="str">
        <f>VLOOKUP(E169,'Types de monstres'!$A$2:$B$17,2,FALSE)</f>
        <v>FIEND</v>
      </c>
      <c r="G169" s="297" t="str">
        <f t="shared" si="7"/>
        <v/>
      </c>
      <c r="H169" s="297" t="str">
        <f>IF(OR(G169="",G169="toute race"),"",VLOOKUP(G169,'Types de monstres'!$F$2:$G$49,2,FALSE))</f>
        <v/>
      </c>
      <c r="I169" s="298" t="s">
        <v>4112</v>
      </c>
      <c r="J169" s="300">
        <v>16</v>
      </c>
      <c r="K169" s="300">
        <v>178</v>
      </c>
      <c r="L169" s="298"/>
      <c r="M169" s="298" t="s">
        <v>4137</v>
      </c>
      <c r="N169" s="297" t="str">
        <f>IF(M169="sans alignement","",IF(M169="tout alignement", """1_LB"", ""2_NB"", ""3_CB"", ""4_LN"", ""5_NN"", ""6_CN"", ""7_LM"", ""8_NM"", ""9_CM""",IF(M169="tout alignement non bon", """4_LN"", ""5_NN"", ""6_CN"", ""7_LM"", ""8_NM"", ""9_CM""",IF(M169="tout alignement mauvais", """7_LM"", ""8_NM"", ""9_CM""",IF(M169="tout alignement chaotique", """3_CB"", ""6_CN"", ""9_CM""",IF(M169="tout alignement non loyal", """2_NB"", ""3_CB"", ""5_NN"", ""6_CN"", ""8_NM"", ""9_CM""",""""&amp;VLOOKUP(M169,Alignements!$A$2:$B$10,2, FALSE)&amp;""""))))))</f>
        <v>"9_CM"</v>
      </c>
      <c r="O169" s="298"/>
      <c r="P169" t="str">
        <f t="shared" si="8"/>
        <v>"Dévoreur d'âme": {
  "Name" : "Dévoreur d'âme",
  "VO" : "Devourer",
  "Family" : "FIEND",
  "Species" : [""],
  "FP" : "13", 
  "Size" : "G",
  "AC" : 16,
  "HP" : 178, 
  "Speed" : "",
  "Alignments" : ["9_CM"],
  "Legendary" : ""}</v>
      </c>
    </row>
    <row r="170" spans="1:16">
      <c r="A170" s="61" t="s">
        <v>4415</v>
      </c>
      <c r="B170" s="297" t="s">
        <v>4416</v>
      </c>
      <c r="C170" s="305">
        <v>2</v>
      </c>
      <c r="D170" s="297" t="s">
        <v>4111</v>
      </c>
      <c r="E170" s="297" t="str">
        <f t="shared" si="6"/>
        <v>Aberration</v>
      </c>
      <c r="F170" s="297" t="str">
        <f>VLOOKUP(E170,'Types de monstres'!$A$2:$B$17,2,FALSE)</f>
        <v>ABERRATION</v>
      </c>
      <c r="G170" s="297" t="str">
        <f t="shared" si="7"/>
        <v/>
      </c>
      <c r="H170" s="297" t="str">
        <f>IF(OR(G170="",G170="toute race"),"",VLOOKUP(G170,'Types de monstres'!$F$2:$G$49,2,FALSE))</f>
        <v/>
      </c>
      <c r="I170" s="297" t="s">
        <v>4154</v>
      </c>
      <c r="J170" s="302">
        <v>12</v>
      </c>
      <c r="K170" s="302">
        <v>21</v>
      </c>
      <c r="L170" s="297"/>
      <c r="M170" s="297" t="s">
        <v>4097</v>
      </c>
      <c r="N170" s="297" t="str">
        <f>IF(M170="sans alignement","",IF(M170="tout alignement", """1_LB"", ""2_NB"", ""3_CB"", ""4_LN"", ""5_NN"", ""6_CN"", ""7_LM"", ""8_NM"", ""9_CM""",IF(M170="tout alignement non bon", """4_LN"", ""5_NN"", ""6_CN"", ""7_LM"", ""8_NM"", ""9_CM""",IF(M170="tout alignement mauvais", """7_LM"", ""8_NM"", ""9_CM""",IF(M170="tout alignement chaotique", """3_CB"", ""6_CN"", ""9_CM""",IF(M170="tout alignement non loyal", """2_NB"", ""3_CB"", ""5_NN"", ""6_CN"", ""8_NM"", ""9_CM""",""""&amp;VLOOKUP(M170,Alignements!$A$2:$B$10,2, FALSE)&amp;""""))))))</f>
        <v>"7_LM"</v>
      </c>
      <c r="O170" s="297"/>
      <c r="P170" t="str">
        <f t="shared" si="8"/>
        <v>"Dévoreur d'intellect": {
  "Name" : "Dévoreur d'intellect",
  "VO" : "Intellect Devourer",
  "Family" : "ABERRATION",
  "Species" : [""],
  "FP" : "2", 
  "Size" : "TP",
  "AC" : 12,
  "HP" : 21, 
  "Speed" : "",
  "Alignments" : ["7_LM"],
  "Legendary" : ""}</v>
      </c>
    </row>
    <row r="171" spans="1:16">
      <c r="A171" s="299" t="s">
        <v>4417</v>
      </c>
      <c r="B171" s="298" t="s">
        <v>4417</v>
      </c>
      <c r="C171" s="306">
        <v>7</v>
      </c>
      <c r="D171" s="298" t="s">
        <v>4173</v>
      </c>
      <c r="E171" s="297" t="str">
        <f t="shared" si="6"/>
        <v>Fiélon</v>
      </c>
      <c r="F171" s="297" t="str">
        <f>VLOOKUP(E171,'Types de monstres'!$A$2:$B$17,2,FALSE)</f>
        <v>FIEND</v>
      </c>
      <c r="G171" s="297" t="str">
        <f t="shared" si="7"/>
        <v>yugoloth</v>
      </c>
      <c r="H171" s="297" t="str">
        <f>IF(OR(G171="",G171="toute race"),"",VLOOKUP(G171,'Types de monstres'!$F$2:$G$49,2,FALSE))</f>
        <v>YUGOLOTH</v>
      </c>
      <c r="I171" s="298" t="s">
        <v>4091</v>
      </c>
      <c r="J171" s="300">
        <v>15</v>
      </c>
      <c r="K171" s="300">
        <v>119</v>
      </c>
      <c r="L171" s="298"/>
      <c r="M171" s="298" t="s">
        <v>4118</v>
      </c>
      <c r="N171" s="297" t="str">
        <f>IF(M171="sans alignement","",IF(M171="tout alignement", """1_LB"", ""2_NB"", ""3_CB"", ""4_LN"", ""5_NN"", ""6_CN"", ""7_LM"", ""8_NM"", ""9_CM""",IF(M171="tout alignement non bon", """4_LN"", ""5_NN"", ""6_CN"", ""7_LM"", ""8_NM"", ""9_CM""",IF(M171="tout alignement mauvais", """7_LM"", ""8_NM"", ""9_CM""",IF(M171="tout alignement chaotique", """3_CB"", ""6_CN"", ""9_CM""",IF(M171="tout alignement non loyal", """2_NB"", ""3_CB"", ""5_NN"", ""6_CN"", ""8_NM"", ""9_CM""",""""&amp;VLOOKUP(M171,Alignements!$A$2:$B$10,2, FALSE)&amp;""""))))))</f>
        <v>"8_NM"</v>
      </c>
      <c r="O171" s="298"/>
      <c r="P171" t="str">
        <f t="shared" si="8"/>
        <v>"Dhergoloth": {
  "Name" : "Dhergoloth",
  "VO" : "Dhergoloth",
  "Family" : "FIEND",
  "Species" : ["YUGOLOTH"],
  "FP" : "7", 
  "Size" : "M",
  "AC" : 15,
  "HP" : 119, 
  "Speed" : "",
  "Alignments" : ["8_NM"],
  "Legendary" : ""}</v>
      </c>
    </row>
    <row r="172" spans="1:16">
      <c r="A172" s="61" t="s">
        <v>4418</v>
      </c>
      <c r="B172" s="297" t="s">
        <v>4419</v>
      </c>
      <c r="C172" s="305">
        <v>8</v>
      </c>
      <c r="D172" s="297" t="s">
        <v>4096</v>
      </c>
      <c r="E172" s="297" t="str">
        <f t="shared" si="6"/>
        <v>Fiélon</v>
      </c>
      <c r="F172" s="297" t="str">
        <f>VLOOKUP(E172,'Types de monstres'!$A$2:$B$17,2,FALSE)</f>
        <v>FIEND</v>
      </c>
      <c r="G172" s="297" t="str">
        <f t="shared" si="7"/>
        <v>diable</v>
      </c>
      <c r="H172" s="297" t="str">
        <f>IF(OR(G172="",G172="toute race"),"",VLOOKUP(G172,'Types de monstres'!$F$2:$G$49,2,FALSE))</f>
        <v>DEVIL</v>
      </c>
      <c r="I172" s="297" t="s">
        <v>4091</v>
      </c>
      <c r="J172" s="302">
        <v>16</v>
      </c>
      <c r="K172" s="302">
        <v>85</v>
      </c>
      <c r="L172" s="297"/>
      <c r="M172" s="297" t="s">
        <v>4097</v>
      </c>
      <c r="N172" s="297" t="str">
        <f>IF(M172="sans alignement","",IF(M172="tout alignement", """1_LB"", ""2_NB"", ""3_CB"", ""4_LN"", ""5_NN"", ""6_CN"", ""7_LM"", ""8_NM"", ""9_CM""",IF(M172="tout alignement non bon", """4_LN"", ""5_NN"", ""6_CN"", ""7_LM"", ""8_NM"", ""9_CM""",IF(M172="tout alignement mauvais", """7_LM"", ""8_NM"", ""9_CM""",IF(M172="tout alignement chaotique", """3_CB"", ""6_CN"", ""9_CM""",IF(M172="tout alignement non loyal", """2_NB"", ""3_CB"", ""5_NN"", ""6_CN"", ""8_NM"", ""9_CM""",""""&amp;VLOOKUP(M172,Alignements!$A$2:$B$10,2, FALSE)&amp;""""))))))</f>
        <v>"7_LM"</v>
      </c>
      <c r="O172" s="297"/>
      <c r="P172" t="str">
        <f t="shared" si="8"/>
        <v>"Diable à chaînes": {
  "Name" : "Diable à chaînes",
  "VO" : "Chain Devil",
  "Family" : "FIEND",
  "Species" : ["DEVIL"],
  "FP" : "8", 
  "Size" : "M",
  "AC" : 16,
  "HP" : 85, 
  "Speed" : "",
  "Alignments" : ["7_LM"],
  "Legendary" : ""}</v>
      </c>
    </row>
    <row r="173" spans="1:16">
      <c r="A173" s="61" t="s">
        <v>4420</v>
      </c>
      <c r="B173" s="298" t="s">
        <v>4421</v>
      </c>
      <c r="C173" s="306">
        <v>5</v>
      </c>
      <c r="D173" s="298" t="s">
        <v>4096</v>
      </c>
      <c r="E173" s="297" t="str">
        <f t="shared" si="6"/>
        <v>Fiélon</v>
      </c>
      <c r="F173" s="297" t="str">
        <f>VLOOKUP(E173,'Types de monstres'!$A$2:$B$17,2,FALSE)</f>
        <v>FIEND</v>
      </c>
      <c r="G173" s="297" t="str">
        <f t="shared" si="7"/>
        <v>diable</v>
      </c>
      <c r="H173" s="297" t="str">
        <f>IF(OR(G173="",G173="toute race"),"",VLOOKUP(G173,'Types de monstres'!$F$2:$G$49,2,FALSE))</f>
        <v>DEVIL</v>
      </c>
      <c r="I173" s="298" t="s">
        <v>4091</v>
      </c>
      <c r="J173" s="300">
        <v>15</v>
      </c>
      <c r="K173" s="300">
        <v>110</v>
      </c>
      <c r="L173" s="298"/>
      <c r="M173" s="298" t="s">
        <v>4097</v>
      </c>
      <c r="N173" s="297" t="str">
        <f>IF(M173="sans alignement","",IF(M173="tout alignement", """1_LB"", ""2_NB"", ""3_CB"", ""4_LN"", ""5_NN"", ""6_CN"", ""7_LM"", ""8_NM"", ""9_CM""",IF(M173="tout alignement non bon", """4_LN"", ""5_NN"", ""6_CN"", ""7_LM"", ""8_NM"", ""9_CM""",IF(M173="tout alignement mauvais", """7_LM"", ""8_NM"", ""9_CM""",IF(M173="tout alignement chaotique", """3_CB"", ""6_CN"", ""9_CM""",IF(M173="tout alignement non loyal", """2_NB"", ""3_CB"", ""5_NN"", ""6_CN"", ""8_NM"", ""9_CM""",""""&amp;VLOOKUP(M173,Alignements!$A$2:$B$10,2, FALSE)&amp;""""))))))</f>
        <v>"7_LM"</v>
      </c>
      <c r="O173" s="298"/>
      <c r="P173" t="str">
        <f t="shared" si="8"/>
        <v>"Diable barbelé": {
  "Name" : "Diable barbelé",
  "VO" : "Barbed Devil",
  "Family" : "FIEND",
  "Species" : ["DEVIL"],
  "FP" : "5", 
  "Size" : "M",
  "AC" : 15,
  "HP" : 110, 
  "Speed" : "",
  "Alignments" : ["7_LM"],
  "Legendary" : ""}</v>
      </c>
    </row>
    <row r="174" spans="1:16">
      <c r="A174" s="61" t="s">
        <v>4422</v>
      </c>
      <c r="B174" s="297" t="s">
        <v>4423</v>
      </c>
      <c r="C174" s="305">
        <v>3</v>
      </c>
      <c r="D174" s="297" t="s">
        <v>4096</v>
      </c>
      <c r="E174" s="297" t="str">
        <f t="shared" si="6"/>
        <v>Fiélon</v>
      </c>
      <c r="F174" s="297" t="str">
        <f>VLOOKUP(E174,'Types de monstres'!$A$2:$B$17,2,FALSE)</f>
        <v>FIEND</v>
      </c>
      <c r="G174" s="297" t="str">
        <f t="shared" si="7"/>
        <v>diable</v>
      </c>
      <c r="H174" s="297" t="str">
        <f>IF(OR(G174="",G174="toute race"),"",VLOOKUP(G174,'Types de monstres'!$F$2:$G$49,2,FALSE))</f>
        <v>DEVIL</v>
      </c>
      <c r="I174" s="297" t="s">
        <v>4091</v>
      </c>
      <c r="J174" s="302">
        <v>13</v>
      </c>
      <c r="K174" s="302">
        <v>52</v>
      </c>
      <c r="L174" s="297"/>
      <c r="M174" s="297" t="s">
        <v>4097</v>
      </c>
      <c r="N174" s="297" t="str">
        <f>IF(M174="sans alignement","",IF(M174="tout alignement", """1_LB"", ""2_NB"", ""3_CB"", ""4_LN"", ""5_NN"", ""6_CN"", ""7_LM"", ""8_NM"", ""9_CM""",IF(M174="tout alignement non bon", """4_LN"", ""5_NN"", ""6_CN"", ""7_LM"", ""8_NM"", ""9_CM""",IF(M174="tout alignement mauvais", """7_LM"", ""8_NM"", ""9_CM""",IF(M174="tout alignement chaotique", """3_CB"", ""6_CN"", ""9_CM""",IF(M174="tout alignement non loyal", """2_NB"", ""3_CB"", ""5_NN"", ""6_CN"", ""8_NM"", ""9_CM""",""""&amp;VLOOKUP(M174,Alignements!$A$2:$B$10,2, FALSE)&amp;""""))))))</f>
        <v>"7_LM"</v>
      </c>
      <c r="O174" s="297"/>
      <c r="P174" t="str">
        <f t="shared" si="8"/>
        <v>"Diable barbu": {
  "Name" : "Diable barbu",
  "VO" : "Bearded Devil",
  "Family" : "FIEND",
  "Species" : ["DEVIL"],
  "FP" : "3", 
  "Size" : "M",
  "AC" : 13,
  "HP" : 52, 
  "Speed" : "",
  "Alignments" : ["7_LM"],
  "Legendary" : ""}</v>
      </c>
    </row>
    <row r="175" spans="1:16">
      <c r="A175" s="61" t="s">
        <v>4424</v>
      </c>
      <c r="B175" s="298" t="s">
        <v>4425</v>
      </c>
      <c r="C175" s="306">
        <v>11</v>
      </c>
      <c r="D175" s="298" t="s">
        <v>4096</v>
      </c>
      <c r="E175" s="297" t="str">
        <f t="shared" si="6"/>
        <v>Fiélon</v>
      </c>
      <c r="F175" s="297" t="str">
        <f>VLOOKUP(E175,'Types de monstres'!$A$2:$B$17,2,FALSE)</f>
        <v>FIEND</v>
      </c>
      <c r="G175" s="297" t="str">
        <f t="shared" si="7"/>
        <v>diable</v>
      </c>
      <c r="H175" s="297" t="str">
        <f>IF(OR(G175="",G175="toute race"),"",VLOOKUP(G175,'Types de monstres'!$F$2:$G$49,2,FALSE))</f>
        <v>DEVIL</v>
      </c>
      <c r="I175" s="298" t="s">
        <v>4112</v>
      </c>
      <c r="J175" s="300">
        <v>18</v>
      </c>
      <c r="K175" s="300">
        <v>178</v>
      </c>
      <c r="L175" s="298" t="s">
        <v>4092</v>
      </c>
      <c r="M175" s="298" t="s">
        <v>4097</v>
      </c>
      <c r="N175" s="297" t="str">
        <f>IF(M175="sans alignement","",IF(M175="tout alignement", """1_LB"", ""2_NB"", ""3_CB"", ""4_LN"", ""5_NN"", ""6_CN"", ""7_LM"", ""8_NM"", ""9_CM""",IF(M175="tout alignement non bon", """4_LN"", ""5_NN"", ""6_CN"", ""7_LM"", ""8_NM"", ""9_CM""",IF(M175="tout alignement mauvais", """7_LM"", ""8_NM"", ""9_CM""",IF(M175="tout alignement chaotique", """3_CB"", ""6_CN"", ""9_CM""",IF(M175="tout alignement non loyal", """2_NB"", ""3_CB"", ""5_NN"", ""6_CN"", ""8_NM"", ""9_CM""",""""&amp;VLOOKUP(M175,Alignements!$A$2:$B$10,2, FALSE)&amp;""""))))))</f>
        <v>"7_LM"</v>
      </c>
      <c r="O175" s="298"/>
      <c r="P175" t="str">
        <f t="shared" si="8"/>
        <v>"Diable cornu": {
  "Name" : "Diable cornu",
  "VO" : "Horned Devil",
  "Family" : "FIEND",
  "Species" : ["DEVIL"],
  "FP" : "11", 
  "Size" : "G",
  "AC" : 18,
  "HP" : 178, 
  "Speed" : "vol",
  "Alignments" : ["7_LM"],
  "Legendary" : ""}</v>
      </c>
    </row>
    <row r="176" spans="1:16">
      <c r="A176" s="61" t="s">
        <v>4426</v>
      </c>
      <c r="B176" s="297" t="s">
        <v>4427</v>
      </c>
      <c r="C176" s="305">
        <v>2</v>
      </c>
      <c r="D176" s="297" t="s">
        <v>4096</v>
      </c>
      <c r="E176" s="297" t="str">
        <f t="shared" si="6"/>
        <v>Fiélon</v>
      </c>
      <c r="F176" s="297" t="str">
        <f>VLOOKUP(E176,'Types de monstres'!$A$2:$B$17,2,FALSE)</f>
        <v>FIEND</v>
      </c>
      <c r="G176" s="297" t="str">
        <f t="shared" si="7"/>
        <v>diable</v>
      </c>
      <c r="H176" s="297" t="str">
        <f>IF(OR(G176="",G176="toute race"),"",VLOOKUP(G176,'Types de monstres'!$F$2:$G$49,2,FALSE))</f>
        <v>DEVIL</v>
      </c>
      <c r="I176" s="297" t="s">
        <v>4129</v>
      </c>
      <c r="J176" s="302">
        <v>13</v>
      </c>
      <c r="K176" s="302">
        <v>22</v>
      </c>
      <c r="L176" s="297" t="s">
        <v>4092</v>
      </c>
      <c r="M176" s="297" t="s">
        <v>4097</v>
      </c>
      <c r="N176" s="297" t="str">
        <f>IF(M176="sans alignement","",IF(M176="tout alignement", """1_LB"", ""2_NB"", ""3_CB"", ""4_LN"", ""5_NN"", ""6_CN"", ""7_LM"", ""8_NM"", ""9_CM""",IF(M176="tout alignement non bon", """4_LN"", ""5_NN"", ""6_CN"", ""7_LM"", ""8_NM"", ""9_CM""",IF(M176="tout alignement mauvais", """7_LM"", ""8_NM"", ""9_CM""",IF(M176="tout alignement chaotique", """3_CB"", ""6_CN"", ""9_CM""",IF(M176="tout alignement non loyal", """2_NB"", ""3_CB"", ""5_NN"", ""6_CN"", ""8_NM"", ""9_CM""",""""&amp;VLOOKUP(M176,Alignements!$A$2:$B$10,2, FALSE)&amp;""""))))))</f>
        <v>"7_LM"</v>
      </c>
      <c r="O176" s="297"/>
      <c r="P176" t="str">
        <f t="shared" si="8"/>
        <v>"Diable épineux": {
  "Name" : "Diable épineux",
  "VO" : "Spined Devil",
  "Family" : "FIEND",
  "Species" : ["DEVIL"],
  "FP" : "2", 
  "Size" : "P",
  "AC" : 13,
  "HP" : 22, 
  "Speed" : "vol",
  "Alignments" : ["7_LM"],
  "Legendary" : ""}</v>
      </c>
    </row>
    <row r="177" spans="1:16">
      <c r="A177" s="61" t="s">
        <v>4428</v>
      </c>
      <c r="B177" s="298" t="s">
        <v>4429</v>
      </c>
      <c r="C177" s="306">
        <v>14</v>
      </c>
      <c r="D177" s="298" t="s">
        <v>4096</v>
      </c>
      <c r="E177" s="297" t="str">
        <f t="shared" si="6"/>
        <v>Fiélon</v>
      </c>
      <c r="F177" s="297" t="str">
        <f>VLOOKUP(E177,'Types de monstres'!$A$2:$B$17,2,FALSE)</f>
        <v>FIEND</v>
      </c>
      <c r="G177" s="297" t="str">
        <f t="shared" si="7"/>
        <v>diable</v>
      </c>
      <c r="H177" s="297" t="str">
        <f>IF(OR(G177="",G177="toute race"),"",VLOOKUP(G177,'Types de monstres'!$F$2:$G$49,2,FALSE))</f>
        <v>DEVIL</v>
      </c>
      <c r="I177" s="298" t="s">
        <v>4112</v>
      </c>
      <c r="J177" s="300">
        <v>18</v>
      </c>
      <c r="K177" s="300">
        <v>180</v>
      </c>
      <c r="L177" s="298"/>
      <c r="M177" s="298" t="s">
        <v>4097</v>
      </c>
      <c r="N177" s="297" t="str">
        <f>IF(M177="sans alignement","",IF(M177="tout alignement", """1_LB"", ""2_NB"", ""3_CB"", ""4_LN"", ""5_NN"", ""6_CN"", ""7_LM"", ""8_NM"", ""9_CM""",IF(M177="tout alignement non bon", """4_LN"", ""5_NN"", ""6_CN"", ""7_LM"", ""8_NM"", ""9_CM""",IF(M177="tout alignement mauvais", """7_LM"", ""8_NM"", ""9_CM""",IF(M177="tout alignement chaotique", """3_CB"", ""6_CN"", ""9_CM""",IF(M177="tout alignement non loyal", """2_NB"", ""3_CB"", ""5_NN"", ""6_CN"", ""8_NM"", ""9_CM""",""""&amp;VLOOKUP(M177,Alignements!$A$2:$B$10,2, FALSE)&amp;""""))))))</f>
        <v>"7_LM"</v>
      </c>
      <c r="O177" s="298"/>
      <c r="P177" t="str">
        <f t="shared" si="8"/>
        <v>"Diable gelé": {
  "Name" : "Diable gelé",
  "VO" : "Ice Devil",
  "Family" : "FIEND",
  "Species" : ["DEVIL"],
  "FP" : "14", 
  "Size" : "G",
  "AC" : 18,
  "HP" : 180, 
  "Speed" : "",
  "Alignments" : ["7_LM"],
  "Legendary" : ""}</v>
      </c>
    </row>
    <row r="178" spans="1:16">
      <c r="A178" s="61" t="s">
        <v>4430</v>
      </c>
      <c r="B178" s="297" t="s">
        <v>4431</v>
      </c>
      <c r="C178" s="305">
        <v>9</v>
      </c>
      <c r="D178" s="297" t="s">
        <v>4096</v>
      </c>
      <c r="E178" s="297" t="str">
        <f t="shared" si="6"/>
        <v>Fiélon</v>
      </c>
      <c r="F178" s="297" t="str">
        <f>VLOOKUP(E178,'Types de monstres'!$A$2:$B$17,2,FALSE)</f>
        <v>FIEND</v>
      </c>
      <c r="G178" s="297" t="str">
        <f t="shared" si="7"/>
        <v>diable</v>
      </c>
      <c r="H178" s="297" t="str">
        <f>IF(OR(G178="",G178="toute race"),"",VLOOKUP(G178,'Types de monstres'!$F$2:$G$49,2,FALSE))</f>
        <v>DEVIL</v>
      </c>
      <c r="I178" s="297" t="s">
        <v>4112</v>
      </c>
      <c r="J178" s="302">
        <v>19</v>
      </c>
      <c r="K178" s="302">
        <v>142</v>
      </c>
      <c r="L178" s="297" t="s">
        <v>4092</v>
      </c>
      <c r="M178" s="297" t="s">
        <v>4097</v>
      </c>
      <c r="N178" s="297" t="str">
        <f>IF(M178="sans alignement","",IF(M178="tout alignement", """1_LB"", ""2_NB"", ""3_CB"", ""4_LN"", ""5_NN"", ""6_CN"", ""7_LM"", ""8_NM"", ""9_CM""",IF(M178="tout alignement non bon", """4_LN"", ""5_NN"", ""6_CN"", ""7_LM"", ""8_NM"", ""9_CM""",IF(M178="tout alignement mauvais", """7_LM"", ""8_NM"", ""9_CM""",IF(M178="tout alignement chaotique", """3_CB"", ""6_CN"", ""9_CM""",IF(M178="tout alignement non loyal", """2_NB"", ""3_CB"", ""5_NN"", ""6_CN"", ""8_NM"", ""9_CM""",""""&amp;VLOOKUP(M178,Alignements!$A$2:$B$10,2, FALSE)&amp;""""))))))</f>
        <v>"7_LM"</v>
      </c>
      <c r="O178" s="297"/>
      <c r="P178" t="str">
        <f t="shared" si="8"/>
        <v>"Diable osseux": {
  "Name" : "Diable osseux",
  "VO" : "Bone Devil",
  "Family" : "FIEND",
  "Species" : ["DEVIL"],
  "FP" : "9", 
  "Size" : "G",
  "AC" : 19,
  "HP" : 142, 
  "Speed" : "vol",
  "Alignments" : ["7_LM"],
  "Legendary" : ""}</v>
      </c>
    </row>
    <row r="179" spans="1:16" ht="21">
      <c r="A179" s="61" t="s">
        <v>4432</v>
      </c>
      <c r="B179" s="298" t="s">
        <v>4433</v>
      </c>
      <c r="C179" s="306">
        <v>1</v>
      </c>
      <c r="D179" s="298" t="s">
        <v>4434</v>
      </c>
      <c r="E179" s="297" t="str">
        <f t="shared" si="6"/>
        <v>Fiélon</v>
      </c>
      <c r="F179" s="297" t="str">
        <f>VLOOKUP(E179,'Types de monstres'!$A$2:$B$17,2,FALSE)</f>
        <v>FIEND</v>
      </c>
      <c r="G179" s="297" t="str">
        <f t="shared" si="7"/>
        <v>diable, métamorphe</v>
      </c>
      <c r="H179" s="297" t="s">
        <v>5726</v>
      </c>
      <c r="I179" s="298" t="s">
        <v>4154</v>
      </c>
      <c r="J179" s="300">
        <v>13</v>
      </c>
      <c r="K179" s="300">
        <v>10</v>
      </c>
      <c r="L179" s="298" t="s">
        <v>4092</v>
      </c>
      <c r="M179" s="298" t="s">
        <v>4097</v>
      </c>
      <c r="N179" s="297" t="str">
        <f>IF(M179="sans alignement","",IF(M179="tout alignement", """1_LB"", ""2_NB"", ""3_CB"", ""4_LN"", ""5_NN"", ""6_CN"", ""7_LM"", ""8_NM"", ""9_CM""",IF(M179="tout alignement non bon", """4_LN"", ""5_NN"", ""6_CN"", ""7_LM"", ""8_NM"", ""9_CM""",IF(M179="tout alignement mauvais", """7_LM"", ""8_NM"", ""9_CM""",IF(M179="tout alignement chaotique", """3_CB"", ""6_CN"", ""9_CM""",IF(M179="tout alignement non loyal", """2_NB"", ""3_CB"", ""5_NN"", ""6_CN"", ""8_NM"", ""9_CM""",""""&amp;VLOOKUP(M179,Alignements!$A$2:$B$10,2, FALSE)&amp;""""))))))</f>
        <v>"7_LM"</v>
      </c>
      <c r="O179" s="298"/>
      <c r="P179" t="str">
        <f t="shared" si="8"/>
        <v>"Diablotin": {
  "Name" : "Diablotin",
  "VO" : "Imp",
  "Family" : "FIEND",
  "Species" : ["DEVIL", "METAMORPH"],
  "FP" : "1", 
  "Size" : "TP",
  "AC" : 13,
  "HP" : 10, 
  "Speed" : "vol",
  "Alignments" : ["7_LM"],
  "Legendary" : ""}</v>
      </c>
    </row>
    <row r="180" spans="1:16">
      <c r="A180" s="61" t="s">
        <v>4435</v>
      </c>
      <c r="B180" s="297" t="s">
        <v>4436</v>
      </c>
      <c r="C180" s="305">
        <v>20</v>
      </c>
      <c r="D180" s="297" t="s">
        <v>4096</v>
      </c>
      <c r="E180" s="297" t="str">
        <f t="shared" si="6"/>
        <v>Fiélon</v>
      </c>
      <c r="F180" s="297" t="str">
        <f>VLOOKUP(E180,'Types de monstres'!$A$2:$B$17,2,FALSE)</f>
        <v>FIEND</v>
      </c>
      <c r="G180" s="297" t="str">
        <f t="shared" si="7"/>
        <v>diable</v>
      </c>
      <c r="H180" s="297" t="str">
        <f>IF(OR(G180="",G180="toute race"),"",VLOOKUP(G180,'Types de monstres'!$F$2:$G$49,2,FALSE))</f>
        <v>DEVIL</v>
      </c>
      <c r="I180" s="297" t="s">
        <v>4112</v>
      </c>
      <c r="J180" s="302">
        <v>19</v>
      </c>
      <c r="K180" s="302">
        <v>300</v>
      </c>
      <c r="L180" s="297" t="s">
        <v>4092</v>
      </c>
      <c r="M180" s="297" t="s">
        <v>4097</v>
      </c>
      <c r="N180" s="297" t="str">
        <f>IF(M180="sans alignement","",IF(M180="tout alignement", """1_LB"", ""2_NB"", ""3_CB"", ""4_LN"", ""5_NN"", ""6_CN"", ""7_LM"", ""8_NM"", ""9_CM""",IF(M180="tout alignement non bon", """4_LN"", ""5_NN"", ""6_CN"", ""7_LM"", ""8_NM"", ""9_CM""",IF(M180="tout alignement mauvais", """7_LM"", ""8_NM"", ""9_CM""",IF(M180="tout alignement chaotique", """3_CB"", ""6_CN"", ""9_CM""",IF(M180="tout alignement non loyal", """2_NB"", ""3_CB"", ""5_NN"", ""6_CN"", ""8_NM"", ""9_CM""",""""&amp;VLOOKUP(M180,Alignements!$A$2:$B$10,2, FALSE)&amp;""""))))))</f>
        <v>"7_LM"</v>
      </c>
      <c r="O180" s="297"/>
      <c r="P180" t="str">
        <f t="shared" si="8"/>
        <v>"Diantrefosse": {
  "Name" : "Diantrefosse",
  "VO" : "Pit Fiend",
  "Family" : "FIEND",
  "Species" : ["DEVIL"],
  "FP" : "20", 
  "Size" : "G",
  "AC" : 19,
  "HP" : 300, 
  "Speed" : "vol",
  "Alignments" : ["7_LM"],
  "Legendary" : ""}</v>
      </c>
    </row>
    <row r="181" spans="1:16">
      <c r="A181" s="61" t="s">
        <v>4437</v>
      </c>
      <c r="B181" s="298" t="s">
        <v>4438</v>
      </c>
      <c r="C181" s="306">
        <v>11</v>
      </c>
      <c r="D181" s="298" t="s">
        <v>4189</v>
      </c>
      <c r="E181" s="297" t="str">
        <f t="shared" si="6"/>
        <v>Élémentaire</v>
      </c>
      <c r="F181" s="297" t="str">
        <f>VLOOKUP(E181,'Types de monstres'!$A$2:$B$17,2,FALSE)</f>
        <v>ELEMENTARY</v>
      </c>
      <c r="G181" s="297" t="str">
        <f t="shared" si="7"/>
        <v/>
      </c>
      <c r="H181" s="297" t="str">
        <f>IF(OR(G181="",G181="toute race"),"",VLOOKUP(G181,'Types de monstres'!$F$2:$G$49,2,FALSE))</f>
        <v/>
      </c>
      <c r="I181" s="298" t="s">
        <v>4112</v>
      </c>
      <c r="J181" s="300">
        <v>17</v>
      </c>
      <c r="K181" s="300">
        <v>161</v>
      </c>
      <c r="L181" s="298" t="s">
        <v>4092</v>
      </c>
      <c r="M181" s="298" t="s">
        <v>4439</v>
      </c>
      <c r="N181" s="297" t="str">
        <f>IF(M181="sans alignement","",IF(M181="tout alignement", """1_LB"", ""2_NB"", ""3_CB"", ""4_LN"", ""5_NN"", ""6_CN"", ""7_LM"", ""8_NM"", ""9_CM""",IF(M181="tout alignement non bon", """4_LN"", ""5_NN"", ""6_CN"", ""7_LM"", ""8_NM"", ""9_CM""",IF(M181="tout alignement mauvais", """7_LM"", ""8_NM"", ""9_CM""",IF(M181="tout alignement chaotique", """3_CB"", ""6_CN"", ""9_CM""",IF(M181="tout alignement non loyal", """2_NB"", ""3_CB"", ""5_NN"", ""6_CN"", ""8_NM"", ""9_CM""",""""&amp;VLOOKUP(M181,Alignements!$A$2:$B$10,2, FALSE)&amp;""""))))))</f>
        <v>"3_CB"</v>
      </c>
      <c r="O181" s="298"/>
      <c r="P181" t="str">
        <f t="shared" si="8"/>
        <v>"Djinn": {
  "Name" : "Djinn",
  "VO" : "Djinni",
  "Family" : "ELEMENTARY",
  "Species" : [""],
  "FP" : "11", 
  "Size" : "G",
  "AC" : 17,
  "HP" : 161, 
  "Speed" : "vol",
  "Alignments" : ["3_CB"],
  "Legendary" : ""}</v>
      </c>
    </row>
    <row r="182" spans="1:16">
      <c r="A182" s="301" t="s">
        <v>4440</v>
      </c>
      <c r="B182" s="297" t="s">
        <v>4441</v>
      </c>
      <c r="C182" s="305">
        <v>3</v>
      </c>
      <c r="D182" s="297" t="s">
        <v>4111</v>
      </c>
      <c r="E182" s="297" t="str">
        <f t="shared" si="6"/>
        <v>Aberration</v>
      </c>
      <c r="F182" s="297" t="str">
        <f>VLOOKUP(E182,'Types de monstres'!$A$2:$B$17,2,FALSE)</f>
        <v>ABERRATION</v>
      </c>
      <c r="G182" s="297" t="str">
        <f t="shared" si="7"/>
        <v/>
      </c>
      <c r="H182" s="297" t="str">
        <f>IF(OR(G182="",G182="toute race"),"",VLOOKUP(G182,'Types de monstres'!$F$2:$G$49,2,FALSE))</f>
        <v/>
      </c>
      <c r="I182" s="297" t="s">
        <v>4091</v>
      </c>
      <c r="J182" s="302">
        <v>16</v>
      </c>
      <c r="K182" s="302">
        <v>33</v>
      </c>
      <c r="L182" s="297"/>
      <c r="M182" s="297" t="s">
        <v>4097</v>
      </c>
      <c r="N182" s="297" t="str">
        <f>IF(M182="sans alignement","",IF(M182="tout alignement", """1_LB"", ""2_NB"", ""3_CB"", ""4_LN"", ""5_NN"", ""6_CN"", ""7_LM"", ""8_NM"", ""9_CM""",IF(M182="tout alignement non bon", """4_LN"", ""5_NN"", ""6_CN"", ""7_LM"", ""8_NM"", ""9_CM""",IF(M182="tout alignement mauvais", """7_LM"", ""8_NM"", ""9_CM""",IF(M182="tout alignement chaotique", """3_CB"", ""6_CN"", ""9_CM""",IF(M182="tout alignement non loyal", """2_NB"", ""3_CB"", ""5_NN"", ""6_CN"", ""8_NM"", ""9_CM""",""""&amp;VLOOKUP(M182,Alignements!$A$2:$B$10,2, FALSE)&amp;""""))))))</f>
        <v>"7_LM"</v>
      </c>
      <c r="O182" s="297"/>
      <c r="P182" t="str">
        <f t="shared" si="8"/>
        <v>"Dolgonte": {
  "Name" : "Dolgonte",
  "VO" : "Dolgaunt",
  "Family" : "ABERRATION",
  "Species" : [""],
  "FP" : "3", 
  "Size" : "M",
  "AC" : 16,
  "HP" : 33, 
  "Speed" : "",
  "Alignments" : ["7_LM"],
  "Legendary" : ""}</v>
      </c>
    </row>
    <row r="183" spans="1:16">
      <c r="A183" s="299" t="s">
        <v>4442</v>
      </c>
      <c r="B183" s="298" t="s">
        <v>4443</v>
      </c>
      <c r="C183" s="306" t="s">
        <v>5620</v>
      </c>
      <c r="D183" s="298" t="s">
        <v>4111</v>
      </c>
      <c r="E183" s="297" t="str">
        <f t="shared" si="6"/>
        <v>Aberration</v>
      </c>
      <c r="F183" s="297" t="str">
        <f>VLOOKUP(E183,'Types de monstres'!$A$2:$B$17,2,FALSE)</f>
        <v>ABERRATION</v>
      </c>
      <c r="G183" s="297" t="str">
        <f t="shared" si="7"/>
        <v/>
      </c>
      <c r="H183" s="297" t="str">
        <f>IF(OR(G183="",G183="toute race"),"",VLOOKUP(G183,'Types de monstres'!$F$2:$G$49,2,FALSE))</f>
        <v/>
      </c>
      <c r="I183" s="298" t="s">
        <v>4129</v>
      </c>
      <c r="J183" s="300">
        <v>15</v>
      </c>
      <c r="K183" s="300">
        <v>13</v>
      </c>
      <c r="L183" s="298"/>
      <c r="M183" s="298" t="s">
        <v>4137</v>
      </c>
      <c r="N183" s="297" t="str">
        <f>IF(M183="sans alignement","",IF(M183="tout alignement", """1_LB"", ""2_NB"", ""3_CB"", ""4_LN"", ""5_NN"", ""6_CN"", ""7_LM"", ""8_NM"", ""9_CM""",IF(M183="tout alignement non bon", """4_LN"", ""5_NN"", ""6_CN"", ""7_LM"", ""8_NM"", ""9_CM""",IF(M183="tout alignement mauvais", """7_LM"", ""8_NM"", ""9_CM""",IF(M183="tout alignement chaotique", """3_CB"", ""6_CN"", ""9_CM""",IF(M183="tout alignement non loyal", """2_NB"", ""3_CB"", ""5_NN"", ""6_CN"", ""8_NM"", ""9_CM""",""""&amp;VLOOKUP(M183,Alignements!$A$2:$B$10,2, FALSE)&amp;""""))))))</f>
        <v>"9_CM"</v>
      </c>
      <c r="O183" s="298"/>
      <c r="P183" t="str">
        <f t="shared" si="8"/>
        <v>"Dolgrime": {
  "Name" : "Dolgrime",
  "VO" : "Dolgrim",
  "Family" : "ABERRATION",
  "Species" : [""],
  "FP" : "1/2", 
  "Size" : "P",
  "AC" : 15,
  "HP" : 13, 
  "Speed" : "",
  "Alignments" : ["9_CM"],
  "Legendary" : ""}</v>
      </c>
    </row>
    <row r="184" spans="1:16" ht="21">
      <c r="A184" s="61" t="s">
        <v>4444</v>
      </c>
      <c r="B184" s="297" t="s">
        <v>4444</v>
      </c>
      <c r="C184" s="305">
        <v>3</v>
      </c>
      <c r="D184" s="297" t="s">
        <v>4445</v>
      </c>
      <c r="E184" s="297" t="str">
        <f t="shared" si="6"/>
        <v>Créature monstrueuse</v>
      </c>
      <c r="F184" s="297" t="str">
        <f>VLOOKUP(E184,'Types de monstres'!$A$2:$B$17,2,FALSE)</f>
        <v>MONSTROUS_CREATURE</v>
      </c>
      <c r="G184" s="297" t="str">
        <f t="shared" si="7"/>
        <v>métamorphe</v>
      </c>
      <c r="H184" s="297" t="str">
        <f>IF(OR(G184="",G184="toute race"),"",VLOOKUP(G184,'Types de monstres'!$F$2:$G$49,2,FALSE))</f>
        <v>METAMORPH</v>
      </c>
      <c r="I184" s="297" t="s">
        <v>4091</v>
      </c>
      <c r="J184" s="302">
        <v>14</v>
      </c>
      <c r="K184" s="302">
        <v>52</v>
      </c>
      <c r="L184" s="297"/>
      <c r="M184" s="297" t="s">
        <v>4193</v>
      </c>
      <c r="N184" s="297" t="str">
        <f>IF(M184="sans alignement","",IF(M184="tout alignement", """1_LB"", ""2_NB"", ""3_CB"", ""4_LN"", ""5_NN"", ""6_CN"", ""7_LM"", ""8_NM"", ""9_CM""",IF(M184="tout alignement non bon", """4_LN"", ""5_NN"", ""6_CN"", ""7_LM"", ""8_NM"", ""9_CM""",IF(M184="tout alignement mauvais", """7_LM"", ""8_NM"", ""9_CM""",IF(M184="tout alignement chaotique", """3_CB"", ""6_CN"", ""9_CM""",IF(M184="tout alignement non loyal", """2_NB"", ""3_CB"", ""5_NN"", ""6_CN"", ""8_NM"", ""9_CM""",""""&amp;VLOOKUP(M184,Alignements!$A$2:$B$10,2, FALSE)&amp;""""))))))</f>
        <v>"5_NN"</v>
      </c>
      <c r="O184" s="297"/>
      <c r="P184" t="str">
        <f t="shared" si="8"/>
        <v>"Doppelganger": {
  "Name" : "Doppelganger",
  "VO" : "Doppelganger",
  "Family" : "MONSTROUS_CREATURE",
  "Species" : ["METAMORPH"],
  "FP" : "3", 
  "Size" : "M",
  "AC" : 14,
  "HP" : 52, 
  "Speed" : "",
  "Alignments" : ["5_NN"],
  "Legendary" : ""}</v>
      </c>
    </row>
    <row r="185" spans="1:16" ht="21">
      <c r="A185" s="61" t="s">
        <v>4446</v>
      </c>
      <c r="B185" s="298" t="s">
        <v>4447</v>
      </c>
      <c r="C185" s="306">
        <v>17</v>
      </c>
      <c r="D185" s="298" t="s">
        <v>4117</v>
      </c>
      <c r="E185" s="297" t="str">
        <f t="shared" si="6"/>
        <v>Mort-vivant</v>
      </c>
      <c r="F185" s="297" t="str">
        <f>VLOOKUP(E185,'Types de monstres'!$A$2:$B$17,2,FALSE)</f>
        <v>UNDEAD</v>
      </c>
      <c r="G185" s="297" t="str">
        <f t="shared" si="7"/>
        <v/>
      </c>
      <c r="H185" s="297" t="str">
        <f>IF(OR(G185="",G185="toute race"),"",VLOOKUP(G185,'Types de monstres'!$F$2:$G$49,2,FALSE))</f>
        <v/>
      </c>
      <c r="I185" s="298" t="s">
        <v>4149</v>
      </c>
      <c r="J185" s="300">
        <v>19</v>
      </c>
      <c r="K185" s="300">
        <v>225</v>
      </c>
      <c r="L185" s="298" t="s">
        <v>4092</v>
      </c>
      <c r="M185" s="298" t="s">
        <v>4097</v>
      </c>
      <c r="N185" s="297" t="str">
        <f>IF(M185="sans alignement","",IF(M185="tout alignement", """1_LB"", ""2_NB"", ""3_CB"", ""4_LN"", ""5_NN"", ""6_CN"", ""7_LM"", ""8_NM"", ""9_CM""",IF(M185="tout alignement non bon", """4_LN"", ""5_NN"", ""6_CN"", ""7_LM"", ""8_NM"", ""9_CM""",IF(M185="tout alignement mauvais", """7_LM"", ""8_NM"", ""9_CM""",IF(M185="tout alignement chaotique", """3_CB"", ""6_CN"", ""9_CM""",IF(M185="tout alignement non loyal", """2_NB"", ""3_CB"", ""5_NN"", ""6_CN"", ""8_NM"", ""9_CM""",""""&amp;VLOOKUP(M185,Alignements!$A$2:$B$10,2, FALSE)&amp;""""))))))</f>
        <v>"7_LM"</v>
      </c>
      <c r="O185" s="298" t="s">
        <v>4114</v>
      </c>
      <c r="P185" t="str">
        <f t="shared" si="8"/>
        <v>"Dracoliche bleue, adulte": {
  "Name" : "Dracoliche bleue, adulte",
  "VO" : "Adult Blue Dracolich",
  "Family" : "UNDEAD",
  "Species" : [""],
  "FP" : "17", 
  "Size" : "TG",
  "AC" : 19,
  "HP" : 225, 
  "Speed" : "vol",
  "Alignments" : ["7_LM"],
  "Legendary" : "Légendaire"}</v>
      </c>
    </row>
    <row r="186" spans="1:16">
      <c r="A186" s="61" t="s">
        <v>4448</v>
      </c>
      <c r="B186" s="297" t="s">
        <v>4448</v>
      </c>
      <c r="C186" s="305">
        <v>7</v>
      </c>
      <c r="D186" s="297" t="s">
        <v>4136</v>
      </c>
      <c r="E186" s="297" t="str">
        <f t="shared" si="6"/>
        <v>Fiélon</v>
      </c>
      <c r="F186" s="297" t="str">
        <f>VLOOKUP(E186,'Types de monstres'!$A$2:$B$17,2,FALSE)</f>
        <v>FIEND</v>
      </c>
      <c r="G186" s="297" t="str">
        <f t="shared" si="7"/>
        <v>démon</v>
      </c>
      <c r="H186" s="297" t="str">
        <f>IF(OR(G186="",G186="toute race"),"",VLOOKUP(G186,'Types de monstres'!$F$2:$G$49,2,FALSE))</f>
        <v>DAEMON</v>
      </c>
      <c r="I186" s="297" t="s">
        <v>4112</v>
      </c>
      <c r="J186" s="302">
        <v>15</v>
      </c>
      <c r="K186" s="302">
        <v>123</v>
      </c>
      <c r="L186" s="297"/>
      <c r="M186" s="297" t="s">
        <v>4137</v>
      </c>
      <c r="N186" s="297" t="str">
        <f>IF(M186="sans alignement","",IF(M186="tout alignement", """1_LB"", ""2_NB"", ""3_CB"", ""4_LN"", ""5_NN"", ""6_CN"", ""7_LM"", ""8_NM"", ""9_CM""",IF(M186="tout alignement non bon", """4_LN"", ""5_NN"", ""6_CN"", ""7_LM"", ""8_NM"", ""9_CM""",IF(M186="tout alignement mauvais", """7_LM"", ""8_NM"", ""9_CM""",IF(M186="tout alignement chaotique", """3_CB"", ""6_CN"", ""9_CM""",IF(M186="tout alignement non loyal", """2_NB"", ""3_CB"", ""5_NN"", ""6_CN"", ""8_NM"", ""9_CM""",""""&amp;VLOOKUP(M186,Alignements!$A$2:$B$10,2, FALSE)&amp;""""))))))</f>
        <v>"9_CM"</v>
      </c>
      <c r="O186" s="297"/>
      <c r="P186" t="str">
        <f t="shared" si="8"/>
        <v>"Draegloth": {
  "Name" : "Draegloth",
  "VO" : "Draegloth",
  "Family" : "FIEND",
  "Species" : ["DAEMON"],
  "FP" : "7", 
  "Size" : "G",
  "AC" : 15,
  "HP" : 123, 
  "Speed" : "",
  "Alignments" : ["9_CM"],
  "Legendary" : ""}</v>
      </c>
    </row>
    <row r="187" spans="1:16">
      <c r="A187" s="61" t="s">
        <v>4449</v>
      </c>
      <c r="B187" s="298" t="s">
        <v>4450</v>
      </c>
      <c r="C187" s="306">
        <v>13</v>
      </c>
      <c r="D187" s="298" t="s">
        <v>4451</v>
      </c>
      <c r="E187" s="297" t="str">
        <f t="shared" si="6"/>
        <v>Dragon</v>
      </c>
      <c r="F187" s="297" t="str">
        <f>VLOOKUP(E187,'Types de monstres'!$A$2:$B$17,2,FALSE)</f>
        <v>DRAGON</v>
      </c>
      <c r="G187" s="297" t="str">
        <f t="shared" si="7"/>
        <v/>
      </c>
      <c r="H187" s="297" t="str">
        <f>IF(OR(G187="",G187="toute race"),"",VLOOKUP(G187,'Types de monstres'!$F$2:$G$49,2,FALSE))</f>
        <v/>
      </c>
      <c r="I187" s="298" t="s">
        <v>4149</v>
      </c>
      <c r="J187" s="300">
        <v>18</v>
      </c>
      <c r="K187" s="300">
        <v>200</v>
      </c>
      <c r="L187" s="298" t="s">
        <v>4452</v>
      </c>
      <c r="M187" s="298" t="s">
        <v>4137</v>
      </c>
      <c r="N187" s="297" t="str">
        <f>IF(M187="sans alignement","",IF(M187="tout alignement", """1_LB"", ""2_NB"", ""3_CB"", ""4_LN"", ""5_NN"", ""6_CN"", ""7_LM"", ""8_NM"", ""9_CM""",IF(M187="tout alignement non bon", """4_LN"", ""5_NN"", ""6_CN"", ""7_LM"", ""8_NM"", ""9_CM""",IF(M187="tout alignement mauvais", """7_LM"", ""8_NM"", ""9_CM""",IF(M187="tout alignement chaotique", """3_CB"", ""6_CN"", ""9_CM""",IF(M187="tout alignement non loyal", """2_NB"", ""3_CB"", ""5_NN"", ""6_CN"", ""8_NM"", ""9_CM""",""""&amp;VLOOKUP(M187,Alignements!$A$2:$B$10,2, FALSE)&amp;""""))))))</f>
        <v>"9_CM"</v>
      </c>
      <c r="O187" s="298" t="s">
        <v>4114</v>
      </c>
      <c r="P187" t="str">
        <f t="shared" si="8"/>
        <v>"Dragon blanc, adulte": {
  "Name" : "Dragon blanc, adulte",
  "VO" : "Adult White Dragon",
  "Family" : "DRAGON",
  "Species" : [""],
  "FP" : "13", 
  "Size" : "TG",
  "AC" : 18,
  "HP" : 200, 
  "Speed" : "vol, nage",
  "Alignments" : ["9_CM"],
  "Legendary" : "Légendaire"}</v>
      </c>
    </row>
    <row r="188" spans="1:16" ht="21">
      <c r="A188" s="61" t="s">
        <v>4453</v>
      </c>
      <c r="B188" s="297" t="s">
        <v>4454</v>
      </c>
      <c r="C188" s="305">
        <v>20</v>
      </c>
      <c r="D188" s="297" t="s">
        <v>4451</v>
      </c>
      <c r="E188" s="297" t="str">
        <f t="shared" si="6"/>
        <v>Dragon</v>
      </c>
      <c r="F188" s="297" t="str">
        <f>VLOOKUP(E188,'Types de monstres'!$A$2:$B$17,2,FALSE)</f>
        <v>DRAGON</v>
      </c>
      <c r="G188" s="297" t="str">
        <f t="shared" si="7"/>
        <v/>
      </c>
      <c r="H188" s="297" t="str">
        <f>IF(OR(G188="",G188="toute race"),"",VLOOKUP(G188,'Types de monstres'!$F$2:$G$49,2,FALSE))</f>
        <v/>
      </c>
      <c r="I188" s="297" t="s">
        <v>4371</v>
      </c>
      <c r="J188" s="302">
        <v>20</v>
      </c>
      <c r="K188" s="302">
        <v>333</v>
      </c>
      <c r="L188" s="297" t="s">
        <v>4452</v>
      </c>
      <c r="M188" s="297" t="s">
        <v>4137</v>
      </c>
      <c r="N188" s="297" t="str">
        <f>IF(M188="sans alignement","",IF(M188="tout alignement", """1_LB"", ""2_NB"", ""3_CB"", ""4_LN"", ""5_NN"", ""6_CN"", ""7_LM"", ""8_NM"", ""9_CM""",IF(M188="tout alignement non bon", """4_LN"", ""5_NN"", ""6_CN"", ""7_LM"", ""8_NM"", ""9_CM""",IF(M188="tout alignement mauvais", """7_LM"", ""8_NM"", ""9_CM""",IF(M188="tout alignement chaotique", """3_CB"", ""6_CN"", ""9_CM""",IF(M188="tout alignement non loyal", """2_NB"", ""3_CB"", ""5_NN"", ""6_CN"", ""8_NM"", ""9_CM""",""""&amp;VLOOKUP(M188,Alignements!$A$2:$B$10,2, FALSE)&amp;""""))))))</f>
        <v>"9_CM"</v>
      </c>
      <c r="O188" s="297" t="s">
        <v>4114</v>
      </c>
      <c r="P188" t="str">
        <f t="shared" si="8"/>
        <v>"Dragon blanc, ancien": {
  "Name" : "Dragon blanc, ancien",
  "VO" : "Ancient White Dragon",
  "Family" : "DRAGON",
  "Species" : [""],
  "FP" : "20", 
  "Size" : "Gig",
  "AC" : 20,
  "HP" : 333, 
  "Speed" : "vol, nage",
  "Alignments" : ["9_CM"],
  "Legendary" : "Légendaire"}</v>
      </c>
    </row>
    <row r="189" spans="1:16" ht="21">
      <c r="A189" s="61" t="s">
        <v>4455</v>
      </c>
      <c r="B189" s="298" t="s">
        <v>4456</v>
      </c>
      <c r="C189" s="306">
        <v>6</v>
      </c>
      <c r="D189" s="298" t="s">
        <v>4451</v>
      </c>
      <c r="E189" s="297" t="str">
        <f t="shared" si="6"/>
        <v>Dragon</v>
      </c>
      <c r="F189" s="297" t="str">
        <f>VLOOKUP(E189,'Types de monstres'!$A$2:$B$17,2,FALSE)</f>
        <v>DRAGON</v>
      </c>
      <c r="G189" s="297" t="str">
        <f t="shared" si="7"/>
        <v/>
      </c>
      <c r="H189" s="297" t="str">
        <f>IF(OR(G189="",G189="toute race"),"",VLOOKUP(G189,'Types de monstres'!$F$2:$G$49,2,FALSE))</f>
        <v/>
      </c>
      <c r="I189" s="298" t="s">
        <v>4112</v>
      </c>
      <c r="J189" s="300">
        <v>17</v>
      </c>
      <c r="K189" s="300">
        <v>133</v>
      </c>
      <c r="L189" s="298" t="s">
        <v>4452</v>
      </c>
      <c r="M189" s="298" t="s">
        <v>4137</v>
      </c>
      <c r="N189" s="297" t="str">
        <f>IF(M189="sans alignement","",IF(M189="tout alignement", """1_LB"", ""2_NB"", ""3_CB"", ""4_LN"", ""5_NN"", ""6_CN"", ""7_LM"", ""8_NM"", ""9_CM""",IF(M189="tout alignement non bon", """4_LN"", ""5_NN"", ""6_CN"", ""7_LM"", ""8_NM"", ""9_CM""",IF(M189="tout alignement mauvais", """7_LM"", ""8_NM"", ""9_CM""",IF(M189="tout alignement chaotique", """3_CB"", ""6_CN"", ""9_CM""",IF(M189="tout alignement non loyal", """2_NB"", ""3_CB"", ""5_NN"", ""6_CN"", ""8_NM"", ""9_CM""",""""&amp;VLOOKUP(M189,Alignements!$A$2:$B$10,2, FALSE)&amp;""""))))))</f>
        <v>"9_CM"</v>
      </c>
      <c r="O189" s="298"/>
      <c r="P189" t="str">
        <f t="shared" si="8"/>
        <v>"Dragon blanc, jeune": {
  "Name" : "Dragon blanc, jeune",
  "VO" : "Young White Dragon",
  "Family" : "DRAGON",
  "Species" : [""],
  "FP" : "6", 
  "Size" : "G",
  "AC" : 17,
  "HP" : 133, 
  "Speed" : "vol, nage",
  "Alignments" : ["9_CM"],
  "Legendary" : ""}</v>
      </c>
    </row>
    <row r="190" spans="1:16" ht="21">
      <c r="A190" s="61" t="s">
        <v>4457</v>
      </c>
      <c r="B190" s="297" t="s">
        <v>4458</v>
      </c>
      <c r="C190" s="305">
        <v>2</v>
      </c>
      <c r="D190" s="297" t="s">
        <v>4451</v>
      </c>
      <c r="E190" s="297" t="str">
        <f t="shared" si="6"/>
        <v>Dragon</v>
      </c>
      <c r="F190" s="297" t="str">
        <f>VLOOKUP(E190,'Types de monstres'!$A$2:$B$17,2,FALSE)</f>
        <v>DRAGON</v>
      </c>
      <c r="G190" s="297" t="str">
        <f t="shared" si="7"/>
        <v/>
      </c>
      <c r="H190" s="297" t="str">
        <f>IF(OR(G190="",G190="toute race"),"",VLOOKUP(G190,'Types de monstres'!$F$2:$G$49,2,FALSE))</f>
        <v/>
      </c>
      <c r="I190" s="297" t="s">
        <v>4091</v>
      </c>
      <c r="J190" s="302">
        <v>16</v>
      </c>
      <c r="K190" s="302">
        <v>32</v>
      </c>
      <c r="L190" s="297" t="s">
        <v>4452</v>
      </c>
      <c r="M190" s="297" t="s">
        <v>4137</v>
      </c>
      <c r="N190" s="297" t="str">
        <f>IF(M190="sans alignement","",IF(M190="tout alignement", """1_LB"", ""2_NB"", ""3_CB"", ""4_LN"", ""5_NN"", ""6_CN"", ""7_LM"", ""8_NM"", ""9_CM""",IF(M190="tout alignement non bon", """4_LN"", ""5_NN"", ""6_CN"", ""7_LM"", ""8_NM"", ""9_CM""",IF(M190="tout alignement mauvais", """7_LM"", ""8_NM"", ""9_CM""",IF(M190="tout alignement chaotique", """3_CB"", ""6_CN"", ""9_CM""",IF(M190="tout alignement non loyal", """2_NB"", ""3_CB"", ""5_NN"", ""6_CN"", ""8_NM"", ""9_CM""",""""&amp;VLOOKUP(M190,Alignements!$A$2:$B$10,2, FALSE)&amp;""""))))))</f>
        <v>"9_CM"</v>
      </c>
      <c r="O190" s="297"/>
      <c r="P190" t="str">
        <f t="shared" si="8"/>
        <v>"Dragon blanc, nouveau-né": {
  "Name" : "Dragon blanc, nouveau-né",
  "VO" : "White Dragon Wyrmling",
  "Family" : "DRAGON",
  "Species" : [""],
  "FP" : "2", 
  "Size" : "M",
  "AC" : 16,
  "HP" : 32, 
  "Speed" : "vol, nage",
  "Alignments" : ["9_CM"],
  "Legendary" : ""}</v>
      </c>
    </row>
    <row r="191" spans="1:16">
      <c r="A191" s="61" t="s">
        <v>4459</v>
      </c>
      <c r="B191" s="298" t="s">
        <v>4460</v>
      </c>
      <c r="C191" s="306">
        <v>16</v>
      </c>
      <c r="D191" s="298" t="s">
        <v>4451</v>
      </c>
      <c r="E191" s="297" t="str">
        <f t="shared" si="6"/>
        <v>Dragon</v>
      </c>
      <c r="F191" s="297" t="str">
        <f>VLOOKUP(E191,'Types de monstres'!$A$2:$B$17,2,FALSE)</f>
        <v>DRAGON</v>
      </c>
      <c r="G191" s="297" t="str">
        <f t="shared" si="7"/>
        <v/>
      </c>
      <c r="H191" s="297" t="str">
        <f>IF(OR(G191="",G191="toute race"),"",VLOOKUP(G191,'Types de monstres'!$F$2:$G$49,2,FALSE))</f>
        <v/>
      </c>
      <c r="I191" s="298" t="s">
        <v>4149</v>
      </c>
      <c r="J191" s="300">
        <v>19</v>
      </c>
      <c r="K191" s="300">
        <v>225</v>
      </c>
      <c r="L191" s="298" t="s">
        <v>4092</v>
      </c>
      <c r="M191" s="298" t="s">
        <v>4097</v>
      </c>
      <c r="N191" s="297" t="str">
        <f>IF(M191="sans alignement","",IF(M191="tout alignement", """1_LB"", ""2_NB"", ""3_CB"", ""4_LN"", ""5_NN"", ""6_CN"", ""7_LM"", ""8_NM"", ""9_CM""",IF(M191="tout alignement non bon", """4_LN"", ""5_NN"", ""6_CN"", ""7_LM"", ""8_NM"", ""9_CM""",IF(M191="tout alignement mauvais", """7_LM"", ""8_NM"", ""9_CM""",IF(M191="tout alignement chaotique", """3_CB"", ""6_CN"", ""9_CM""",IF(M191="tout alignement non loyal", """2_NB"", ""3_CB"", ""5_NN"", ""6_CN"", ""8_NM"", ""9_CM""",""""&amp;VLOOKUP(M191,Alignements!$A$2:$B$10,2, FALSE)&amp;""""))))))</f>
        <v>"7_LM"</v>
      </c>
      <c r="O191" s="298" t="s">
        <v>4114</v>
      </c>
      <c r="P191" t="str">
        <f t="shared" si="8"/>
        <v>"Dragon bleu, adulte": {
  "Name" : "Dragon bleu, adulte",
  "VO" : "Adult Blue Dragon",
  "Family" : "DRAGON",
  "Species" : [""],
  "FP" : "16", 
  "Size" : "TG",
  "AC" : 19,
  "HP" : 225, 
  "Speed" : "vol",
  "Alignments" : ["7_LM"],
  "Legendary" : "Légendaire"}</v>
      </c>
    </row>
    <row r="192" spans="1:16" ht="21">
      <c r="A192" s="61" t="s">
        <v>4461</v>
      </c>
      <c r="B192" s="297" t="s">
        <v>4462</v>
      </c>
      <c r="C192" s="305">
        <v>23</v>
      </c>
      <c r="D192" s="297" t="s">
        <v>4451</v>
      </c>
      <c r="E192" s="297" t="str">
        <f t="shared" si="6"/>
        <v>Dragon</v>
      </c>
      <c r="F192" s="297" t="str">
        <f>VLOOKUP(E192,'Types de monstres'!$A$2:$B$17,2,FALSE)</f>
        <v>DRAGON</v>
      </c>
      <c r="G192" s="297" t="str">
        <f t="shared" si="7"/>
        <v/>
      </c>
      <c r="H192" s="297" t="str">
        <f>IF(OR(G192="",G192="toute race"),"",VLOOKUP(G192,'Types de monstres'!$F$2:$G$49,2,FALSE))</f>
        <v/>
      </c>
      <c r="I192" s="297" t="s">
        <v>4371</v>
      </c>
      <c r="J192" s="302">
        <v>22</v>
      </c>
      <c r="K192" s="302">
        <v>481</v>
      </c>
      <c r="L192" s="297" t="s">
        <v>4092</v>
      </c>
      <c r="M192" s="297" t="s">
        <v>4097</v>
      </c>
      <c r="N192" s="297" t="str">
        <f>IF(M192="sans alignement","",IF(M192="tout alignement", """1_LB"", ""2_NB"", ""3_CB"", ""4_LN"", ""5_NN"", ""6_CN"", ""7_LM"", ""8_NM"", ""9_CM""",IF(M192="tout alignement non bon", """4_LN"", ""5_NN"", ""6_CN"", ""7_LM"", ""8_NM"", ""9_CM""",IF(M192="tout alignement mauvais", """7_LM"", ""8_NM"", ""9_CM""",IF(M192="tout alignement chaotique", """3_CB"", ""6_CN"", ""9_CM""",IF(M192="tout alignement non loyal", """2_NB"", ""3_CB"", ""5_NN"", ""6_CN"", ""8_NM"", ""9_CM""",""""&amp;VLOOKUP(M192,Alignements!$A$2:$B$10,2, FALSE)&amp;""""))))))</f>
        <v>"7_LM"</v>
      </c>
      <c r="O192" s="297" t="s">
        <v>4114</v>
      </c>
      <c r="P192" t="str">
        <f t="shared" si="8"/>
        <v>"Dragon bleu, ancien": {
  "Name" : "Dragon bleu, ancien",
  "VO" : "Ancient Blue Dragon",
  "Family" : "DRAGON",
  "Species" : [""],
  "FP" : "23", 
  "Size" : "Gig",
  "AC" : 22,
  "HP" : 481, 
  "Speed" : "vol",
  "Alignments" : ["7_LM"],
  "Legendary" : "Légendaire"}</v>
      </c>
    </row>
    <row r="193" spans="1:16">
      <c r="A193" s="61" t="s">
        <v>4463</v>
      </c>
      <c r="B193" s="298" t="s">
        <v>4464</v>
      </c>
      <c r="C193" s="306">
        <v>9</v>
      </c>
      <c r="D193" s="298" t="s">
        <v>4451</v>
      </c>
      <c r="E193" s="297" t="str">
        <f t="shared" si="6"/>
        <v>Dragon</v>
      </c>
      <c r="F193" s="297" t="str">
        <f>VLOOKUP(E193,'Types de monstres'!$A$2:$B$17,2,FALSE)</f>
        <v>DRAGON</v>
      </c>
      <c r="G193" s="297" t="str">
        <f t="shared" si="7"/>
        <v/>
      </c>
      <c r="H193" s="297" t="str">
        <f>IF(OR(G193="",G193="toute race"),"",VLOOKUP(G193,'Types de monstres'!$F$2:$G$49,2,FALSE))</f>
        <v/>
      </c>
      <c r="I193" s="298" t="s">
        <v>4112</v>
      </c>
      <c r="J193" s="300">
        <v>18</v>
      </c>
      <c r="K193" s="300">
        <v>152</v>
      </c>
      <c r="L193" s="298" t="s">
        <v>4092</v>
      </c>
      <c r="M193" s="298" t="s">
        <v>4097</v>
      </c>
      <c r="N193" s="297" t="str">
        <f>IF(M193="sans alignement","",IF(M193="tout alignement", """1_LB"", ""2_NB"", ""3_CB"", ""4_LN"", ""5_NN"", ""6_CN"", ""7_LM"", ""8_NM"", ""9_CM""",IF(M193="tout alignement non bon", """4_LN"", ""5_NN"", ""6_CN"", ""7_LM"", ""8_NM"", ""9_CM""",IF(M193="tout alignement mauvais", """7_LM"", ""8_NM"", ""9_CM""",IF(M193="tout alignement chaotique", """3_CB"", ""6_CN"", ""9_CM""",IF(M193="tout alignement non loyal", """2_NB"", ""3_CB"", ""5_NN"", ""6_CN"", ""8_NM"", ""9_CM""",""""&amp;VLOOKUP(M193,Alignements!$A$2:$B$10,2, FALSE)&amp;""""))))))</f>
        <v>"7_LM"</v>
      </c>
      <c r="O193" s="298"/>
      <c r="P193" t="str">
        <f t="shared" si="8"/>
        <v>"Dragon bleu, jeune": {
  "Name" : "Dragon bleu, jeune",
  "VO" : "Young Blue Dragon",
  "Family" : "DRAGON",
  "Species" : [""],
  "FP" : "9", 
  "Size" : "G",
  "AC" : 18,
  "HP" : 152, 
  "Speed" : "vol",
  "Alignments" : ["7_LM"],
  "Legendary" : ""}</v>
      </c>
    </row>
    <row r="194" spans="1:16" ht="21">
      <c r="A194" s="61" t="s">
        <v>4465</v>
      </c>
      <c r="B194" s="297" t="s">
        <v>4466</v>
      </c>
      <c r="C194" s="305">
        <v>3</v>
      </c>
      <c r="D194" s="297" t="s">
        <v>4451</v>
      </c>
      <c r="E194" s="297" t="str">
        <f t="shared" si="6"/>
        <v>Dragon</v>
      </c>
      <c r="F194" s="297" t="str">
        <f>VLOOKUP(E194,'Types de monstres'!$A$2:$B$17,2,FALSE)</f>
        <v>DRAGON</v>
      </c>
      <c r="G194" s="297" t="str">
        <f t="shared" si="7"/>
        <v/>
      </c>
      <c r="H194" s="297" t="str">
        <f>IF(OR(G194="",G194="toute race"),"",VLOOKUP(G194,'Types de monstres'!$F$2:$G$49,2,FALSE))</f>
        <v/>
      </c>
      <c r="I194" s="297" t="s">
        <v>4091</v>
      </c>
      <c r="J194" s="302">
        <v>17</v>
      </c>
      <c r="K194" s="302">
        <v>52</v>
      </c>
      <c r="L194" s="297" t="s">
        <v>4092</v>
      </c>
      <c r="M194" s="297" t="s">
        <v>4097</v>
      </c>
      <c r="N194" s="297" t="str">
        <f>IF(M194="sans alignement","",IF(M194="tout alignement", """1_LB"", ""2_NB"", ""3_CB"", ""4_LN"", ""5_NN"", ""6_CN"", ""7_LM"", ""8_NM"", ""9_CM""",IF(M194="tout alignement non bon", """4_LN"", ""5_NN"", ""6_CN"", ""7_LM"", ""8_NM"", ""9_CM""",IF(M194="tout alignement mauvais", """7_LM"", ""8_NM"", ""9_CM""",IF(M194="tout alignement chaotique", """3_CB"", ""6_CN"", ""9_CM""",IF(M194="tout alignement non loyal", """2_NB"", ""3_CB"", ""5_NN"", ""6_CN"", ""8_NM"", ""9_CM""",""""&amp;VLOOKUP(M194,Alignements!$A$2:$B$10,2, FALSE)&amp;""""))))))</f>
        <v>"7_LM"</v>
      </c>
      <c r="O194" s="297"/>
      <c r="P194" t="str">
        <f t="shared" si="8"/>
        <v>"Dragon bleu, nouveau-né": {
  "Name" : "Dragon bleu, nouveau-né",
  "VO" : "Blue Dragon Wyrmling",
  "Family" : "DRAGON",
  "Species" : [""],
  "FP" : "3", 
  "Size" : "M",
  "AC" : 17,
  "HP" : 52, 
  "Speed" : "vol",
  "Alignments" : ["7_LM"],
  "Legendary" : ""}</v>
      </c>
    </row>
    <row r="195" spans="1:16">
      <c r="A195" s="61" t="s">
        <v>4467</v>
      </c>
      <c r="B195" s="298" t="s">
        <v>4468</v>
      </c>
      <c r="C195" s="306">
        <v>13</v>
      </c>
      <c r="D195" s="298" t="s">
        <v>4451</v>
      </c>
      <c r="E195" s="297" t="str">
        <f t="shared" ref="E195:E258" si="9">IF(ISERROR( FIND("(",D195) ),D195,LEFT(D195, FIND("(",D195)-2))</f>
        <v>Dragon</v>
      </c>
      <c r="F195" s="297" t="str">
        <f>VLOOKUP(E195,'Types de monstres'!$A$2:$B$17,2,FALSE)</f>
        <v>DRAGON</v>
      </c>
      <c r="G195" s="297" t="str">
        <f t="shared" ref="G195:G258" si="10">IF(ISERROR( FIND("(",D195) ),"",RIGHT(LEFT(D195,LEN(D195)-1), LEN(D195)-FIND("(",D195)-1))</f>
        <v/>
      </c>
      <c r="H195" s="297" t="str">
        <f>IF(OR(G195="",G195="toute race"),"",VLOOKUP(G195,'Types de monstres'!$F$2:$G$49,2,FALSE))</f>
        <v/>
      </c>
      <c r="I195" s="298" t="s">
        <v>4149</v>
      </c>
      <c r="J195" s="300">
        <v>18</v>
      </c>
      <c r="K195" s="300">
        <v>172</v>
      </c>
      <c r="L195" s="298" t="s">
        <v>4092</v>
      </c>
      <c r="M195" s="298" t="s">
        <v>4439</v>
      </c>
      <c r="N195" s="297" t="str">
        <f>IF(M195="sans alignement","",IF(M195="tout alignement", """1_LB"", ""2_NB"", ""3_CB"", ""4_LN"", ""5_NN"", ""6_CN"", ""7_LM"", ""8_NM"", ""9_CM""",IF(M195="tout alignement non bon", """4_LN"", ""5_NN"", ""6_CN"", ""7_LM"", ""8_NM"", ""9_CM""",IF(M195="tout alignement mauvais", """7_LM"", ""8_NM"", ""9_CM""",IF(M195="tout alignement chaotique", """3_CB"", ""6_CN"", ""9_CM""",IF(M195="tout alignement non loyal", """2_NB"", ""3_CB"", ""5_NN"", ""6_CN"", ""8_NM"", ""9_CM""",""""&amp;VLOOKUP(M195,Alignements!$A$2:$B$10,2, FALSE)&amp;""""))))))</f>
        <v>"3_CB"</v>
      </c>
      <c r="O195" s="298" t="s">
        <v>4114</v>
      </c>
      <c r="P195" t="str">
        <f t="shared" ref="P195:P258" si="11">""""&amp;A195&amp;""": {
  ""Name"" : """&amp;A195&amp;""",
  ""VO"" : """&amp;B195&amp;""",
  ""Family"" : """&amp;F195&amp;""",
  ""Species"" : ["""&amp;SUBSTITUTE(H195,", ",""", """)&amp;"""],
  ""FP"" : """&amp;SUBSTITUTE(C195,"""","")&amp;""", 
  ""Size"" : """&amp;I195&amp;""",
  ""AC"" : "&amp;J195&amp;",
  ""HP"" : "&amp;K195&amp;", 
  ""Speed"" : """&amp;L195&amp;""",
  ""Alignments"" : ["&amp;N195&amp;"],
  ""Legendary"" : """&amp;O195&amp;"""}"</f>
        <v>"Dragon d'airain, adulte": {
  "Name" : "Dragon d'airain, adulte",
  "VO" : "Adult Brass Dragon",
  "Family" : "DRAGON",
  "Species" : [""],
  "FP" : "13", 
  "Size" : "TG",
  "AC" : 18,
  "HP" : 172, 
  "Speed" : "vol",
  "Alignments" : ["3_CB"],
  "Legendary" : "Légendaire"}</v>
      </c>
    </row>
    <row r="196" spans="1:16" ht="21">
      <c r="A196" s="61" t="s">
        <v>4469</v>
      </c>
      <c r="B196" s="297" t="s">
        <v>4470</v>
      </c>
      <c r="C196" s="305">
        <v>20</v>
      </c>
      <c r="D196" s="297" t="s">
        <v>4451</v>
      </c>
      <c r="E196" s="297" t="str">
        <f t="shared" si="9"/>
        <v>Dragon</v>
      </c>
      <c r="F196" s="297" t="str">
        <f>VLOOKUP(E196,'Types de monstres'!$A$2:$B$17,2,FALSE)</f>
        <v>DRAGON</v>
      </c>
      <c r="G196" s="297" t="str">
        <f t="shared" si="10"/>
        <v/>
      </c>
      <c r="H196" s="297" t="str">
        <f>IF(OR(G196="",G196="toute race"),"",VLOOKUP(G196,'Types de monstres'!$F$2:$G$49,2,FALSE))</f>
        <v/>
      </c>
      <c r="I196" s="297" t="s">
        <v>4371</v>
      </c>
      <c r="J196" s="302">
        <v>20</v>
      </c>
      <c r="K196" s="302">
        <v>297</v>
      </c>
      <c r="L196" s="297" t="s">
        <v>4092</v>
      </c>
      <c r="M196" s="297" t="s">
        <v>4439</v>
      </c>
      <c r="N196" s="297" t="str">
        <f>IF(M196="sans alignement","",IF(M196="tout alignement", """1_LB"", ""2_NB"", ""3_CB"", ""4_LN"", ""5_NN"", ""6_CN"", ""7_LM"", ""8_NM"", ""9_CM""",IF(M196="tout alignement non bon", """4_LN"", ""5_NN"", ""6_CN"", ""7_LM"", ""8_NM"", ""9_CM""",IF(M196="tout alignement mauvais", """7_LM"", ""8_NM"", ""9_CM""",IF(M196="tout alignement chaotique", """3_CB"", ""6_CN"", ""9_CM""",IF(M196="tout alignement non loyal", """2_NB"", ""3_CB"", ""5_NN"", ""6_CN"", ""8_NM"", ""9_CM""",""""&amp;VLOOKUP(M196,Alignements!$A$2:$B$10,2, FALSE)&amp;""""))))))</f>
        <v>"3_CB"</v>
      </c>
      <c r="O196" s="297" t="s">
        <v>4114</v>
      </c>
      <c r="P196" t="str">
        <f t="shared" si="11"/>
        <v>"Dragon d'airain, ancien": {
  "Name" : "Dragon d'airain, ancien",
  "VO" : "Ancient Brass Dragon",
  "Family" : "DRAGON",
  "Species" : [""],
  "FP" : "20", 
  "Size" : "Gig",
  "AC" : 20,
  "HP" : 297, 
  "Speed" : "vol",
  "Alignments" : ["3_CB"],
  "Legendary" : "Légendaire"}</v>
      </c>
    </row>
    <row r="197" spans="1:16" ht="21">
      <c r="A197" s="61" t="s">
        <v>4471</v>
      </c>
      <c r="B197" s="298" t="s">
        <v>4472</v>
      </c>
      <c r="C197" s="306">
        <v>6</v>
      </c>
      <c r="D197" s="298" t="s">
        <v>4451</v>
      </c>
      <c r="E197" s="297" t="str">
        <f t="shared" si="9"/>
        <v>Dragon</v>
      </c>
      <c r="F197" s="297" t="str">
        <f>VLOOKUP(E197,'Types de monstres'!$A$2:$B$17,2,FALSE)</f>
        <v>DRAGON</v>
      </c>
      <c r="G197" s="297" t="str">
        <f t="shared" si="10"/>
        <v/>
      </c>
      <c r="H197" s="297" t="str">
        <f>IF(OR(G197="",G197="toute race"),"",VLOOKUP(G197,'Types de monstres'!$F$2:$G$49,2,FALSE))</f>
        <v/>
      </c>
      <c r="I197" s="298" t="s">
        <v>4112</v>
      </c>
      <c r="J197" s="300">
        <v>17</v>
      </c>
      <c r="K197" s="300">
        <v>110</v>
      </c>
      <c r="L197" s="298" t="s">
        <v>4092</v>
      </c>
      <c r="M197" s="298" t="s">
        <v>4439</v>
      </c>
      <c r="N197" s="297" t="str">
        <f>IF(M197="sans alignement","",IF(M197="tout alignement", """1_LB"", ""2_NB"", ""3_CB"", ""4_LN"", ""5_NN"", ""6_CN"", ""7_LM"", ""8_NM"", ""9_CM""",IF(M197="tout alignement non bon", """4_LN"", ""5_NN"", ""6_CN"", ""7_LM"", ""8_NM"", ""9_CM""",IF(M197="tout alignement mauvais", """7_LM"", ""8_NM"", ""9_CM""",IF(M197="tout alignement chaotique", """3_CB"", ""6_CN"", ""9_CM""",IF(M197="tout alignement non loyal", """2_NB"", ""3_CB"", ""5_NN"", ""6_CN"", ""8_NM"", ""9_CM""",""""&amp;VLOOKUP(M197,Alignements!$A$2:$B$10,2, FALSE)&amp;""""))))))</f>
        <v>"3_CB"</v>
      </c>
      <c r="O197" s="298"/>
      <c r="P197" t="str">
        <f t="shared" si="11"/>
        <v>"Dragon d'airain, jeune": {
  "Name" : "Dragon d'airain, jeune",
  "VO" : "Young Brass Dragon",
  "Family" : "DRAGON",
  "Species" : [""],
  "FP" : "6", 
  "Size" : "G",
  "AC" : 17,
  "HP" : 110, 
  "Speed" : "vol",
  "Alignments" : ["3_CB"],
  "Legendary" : ""}</v>
      </c>
    </row>
    <row r="198" spans="1:16" ht="21">
      <c r="A198" s="61" t="s">
        <v>4473</v>
      </c>
      <c r="B198" s="297" t="s">
        <v>4474</v>
      </c>
      <c r="C198" s="305">
        <v>1</v>
      </c>
      <c r="D198" s="297" t="s">
        <v>4451</v>
      </c>
      <c r="E198" s="297" t="str">
        <f t="shared" si="9"/>
        <v>Dragon</v>
      </c>
      <c r="F198" s="297" t="str">
        <f>VLOOKUP(E198,'Types de monstres'!$A$2:$B$17,2,FALSE)</f>
        <v>DRAGON</v>
      </c>
      <c r="G198" s="297" t="str">
        <f t="shared" si="10"/>
        <v/>
      </c>
      <c r="H198" s="297" t="str">
        <f>IF(OR(G198="",G198="toute race"),"",VLOOKUP(G198,'Types de monstres'!$F$2:$G$49,2,FALSE))</f>
        <v/>
      </c>
      <c r="I198" s="297" t="s">
        <v>4091</v>
      </c>
      <c r="J198" s="302">
        <v>16</v>
      </c>
      <c r="K198" s="302">
        <v>16</v>
      </c>
      <c r="L198" s="297" t="s">
        <v>4092</v>
      </c>
      <c r="M198" s="297" t="s">
        <v>4439</v>
      </c>
      <c r="N198" s="297" t="str">
        <f>IF(M198="sans alignement","",IF(M198="tout alignement", """1_LB"", ""2_NB"", ""3_CB"", ""4_LN"", ""5_NN"", ""6_CN"", ""7_LM"", ""8_NM"", ""9_CM""",IF(M198="tout alignement non bon", """4_LN"", ""5_NN"", ""6_CN"", ""7_LM"", ""8_NM"", ""9_CM""",IF(M198="tout alignement mauvais", """7_LM"", ""8_NM"", ""9_CM""",IF(M198="tout alignement chaotique", """3_CB"", ""6_CN"", ""9_CM""",IF(M198="tout alignement non loyal", """2_NB"", ""3_CB"", ""5_NN"", ""6_CN"", ""8_NM"", ""9_CM""",""""&amp;VLOOKUP(M198,Alignements!$A$2:$B$10,2, FALSE)&amp;""""))))))</f>
        <v>"3_CB"</v>
      </c>
      <c r="O198" s="297"/>
      <c r="P198" t="str">
        <f t="shared" si="11"/>
        <v>"Dragon d'airain, nouveau-né": {
  "Name" : "Dragon d'airain, nouveau-né",
  "VO" : "Brass Dragon Wyrmling",
  "Family" : "DRAGON",
  "Species" : [""],
  "FP" : "1", 
  "Size" : "M",
  "AC" : 16,
  "HP" : 16, 
  "Speed" : "vol",
  "Alignments" : ["3_CB"],
  "Legendary" : ""}</v>
      </c>
    </row>
    <row r="199" spans="1:16">
      <c r="A199" s="61" t="s">
        <v>4475</v>
      </c>
      <c r="B199" s="298" t="s">
        <v>4476</v>
      </c>
      <c r="C199" s="306">
        <v>16</v>
      </c>
      <c r="D199" s="298" t="s">
        <v>4451</v>
      </c>
      <c r="E199" s="297" t="str">
        <f t="shared" si="9"/>
        <v>Dragon</v>
      </c>
      <c r="F199" s="297" t="str">
        <f>VLOOKUP(E199,'Types de monstres'!$A$2:$B$17,2,FALSE)</f>
        <v>DRAGON</v>
      </c>
      <c r="G199" s="297" t="str">
        <f t="shared" si="10"/>
        <v/>
      </c>
      <c r="H199" s="297" t="str">
        <f>IF(OR(G199="",G199="toute race"),"",VLOOKUP(G199,'Types de monstres'!$F$2:$G$49,2,FALSE))</f>
        <v/>
      </c>
      <c r="I199" s="298" t="s">
        <v>4149</v>
      </c>
      <c r="J199" s="300">
        <v>19</v>
      </c>
      <c r="K199" s="300">
        <v>243</v>
      </c>
      <c r="L199" s="298" t="s">
        <v>4092</v>
      </c>
      <c r="M199" s="298" t="s">
        <v>4318</v>
      </c>
      <c r="N199" s="297" t="str">
        <f>IF(M199="sans alignement","",IF(M199="tout alignement", """1_LB"", ""2_NB"", ""3_CB"", ""4_LN"", ""5_NN"", ""6_CN"", ""7_LM"", ""8_NM"", ""9_CM""",IF(M199="tout alignement non bon", """4_LN"", ""5_NN"", ""6_CN"", ""7_LM"", ""8_NM"", ""9_CM""",IF(M199="tout alignement mauvais", """7_LM"", ""8_NM"", ""9_CM""",IF(M199="tout alignement chaotique", """3_CB"", ""6_CN"", ""9_CM""",IF(M199="tout alignement non loyal", """2_NB"", ""3_CB"", ""5_NN"", ""6_CN"", ""8_NM"", ""9_CM""",""""&amp;VLOOKUP(M199,Alignements!$A$2:$B$10,2, FALSE)&amp;""""))))))</f>
        <v>"1_LB"</v>
      </c>
      <c r="O199" s="298" t="s">
        <v>4114</v>
      </c>
      <c r="P199" t="str">
        <f t="shared" si="11"/>
        <v>"Dragon d'argent, adulte": {
  "Name" : "Dragon d'argent, adulte",
  "VO" : "Adult Silver Dragon",
  "Family" : "DRAGON",
  "Species" : [""],
  "FP" : "16", 
  "Size" : "TG",
  "AC" : 19,
  "HP" : 243, 
  "Speed" : "vol",
  "Alignments" : ["1_LB"],
  "Legendary" : "Légendaire"}</v>
      </c>
    </row>
    <row r="200" spans="1:16" ht="21">
      <c r="A200" s="61" t="s">
        <v>4477</v>
      </c>
      <c r="B200" s="297" t="s">
        <v>4478</v>
      </c>
      <c r="C200" s="305">
        <v>23</v>
      </c>
      <c r="D200" s="297" t="s">
        <v>4451</v>
      </c>
      <c r="E200" s="297" t="str">
        <f t="shared" si="9"/>
        <v>Dragon</v>
      </c>
      <c r="F200" s="297" t="str">
        <f>VLOOKUP(E200,'Types de monstres'!$A$2:$B$17,2,FALSE)</f>
        <v>DRAGON</v>
      </c>
      <c r="G200" s="297" t="str">
        <f t="shared" si="10"/>
        <v/>
      </c>
      <c r="H200" s="297" t="str">
        <f>IF(OR(G200="",G200="toute race"),"",VLOOKUP(G200,'Types de monstres'!$F$2:$G$49,2,FALSE))</f>
        <v/>
      </c>
      <c r="I200" s="297" t="s">
        <v>4371</v>
      </c>
      <c r="J200" s="302">
        <v>22</v>
      </c>
      <c r="K200" s="302">
        <v>487</v>
      </c>
      <c r="L200" s="297" t="s">
        <v>4092</v>
      </c>
      <c r="M200" s="297" t="s">
        <v>4318</v>
      </c>
      <c r="N200" s="297" t="str">
        <f>IF(M200="sans alignement","",IF(M200="tout alignement", """1_LB"", ""2_NB"", ""3_CB"", ""4_LN"", ""5_NN"", ""6_CN"", ""7_LM"", ""8_NM"", ""9_CM""",IF(M200="tout alignement non bon", """4_LN"", ""5_NN"", ""6_CN"", ""7_LM"", ""8_NM"", ""9_CM""",IF(M200="tout alignement mauvais", """7_LM"", ""8_NM"", ""9_CM""",IF(M200="tout alignement chaotique", """3_CB"", ""6_CN"", ""9_CM""",IF(M200="tout alignement non loyal", """2_NB"", ""3_CB"", ""5_NN"", ""6_CN"", ""8_NM"", ""9_CM""",""""&amp;VLOOKUP(M200,Alignements!$A$2:$B$10,2, FALSE)&amp;""""))))))</f>
        <v>"1_LB"</v>
      </c>
      <c r="O200" s="297" t="s">
        <v>4114</v>
      </c>
      <c r="P200" t="str">
        <f t="shared" si="11"/>
        <v>"Dragon d'argent, ancien": {
  "Name" : "Dragon d'argent, ancien",
  "VO" : "Ancient Silver Dragon",
  "Family" : "DRAGON",
  "Species" : [""],
  "FP" : "23", 
  "Size" : "Gig",
  "AC" : 22,
  "HP" : 487, 
  "Speed" : "vol",
  "Alignments" : ["1_LB"],
  "Legendary" : "Légendaire"}</v>
      </c>
    </row>
    <row r="201" spans="1:16" ht="21">
      <c r="A201" s="61" t="s">
        <v>4479</v>
      </c>
      <c r="B201" s="298" t="s">
        <v>4480</v>
      </c>
      <c r="C201" s="306">
        <v>9</v>
      </c>
      <c r="D201" s="298" t="s">
        <v>4451</v>
      </c>
      <c r="E201" s="297" t="str">
        <f t="shared" si="9"/>
        <v>Dragon</v>
      </c>
      <c r="F201" s="297" t="str">
        <f>VLOOKUP(E201,'Types de monstres'!$A$2:$B$17,2,FALSE)</f>
        <v>DRAGON</v>
      </c>
      <c r="G201" s="297" t="str">
        <f t="shared" si="10"/>
        <v/>
      </c>
      <c r="H201" s="297" t="str">
        <f>IF(OR(G201="",G201="toute race"),"",VLOOKUP(G201,'Types de monstres'!$F$2:$G$49,2,FALSE))</f>
        <v/>
      </c>
      <c r="I201" s="298" t="s">
        <v>4112</v>
      </c>
      <c r="J201" s="300">
        <v>18</v>
      </c>
      <c r="K201" s="300">
        <v>168</v>
      </c>
      <c r="L201" s="298" t="s">
        <v>4092</v>
      </c>
      <c r="M201" s="298" t="s">
        <v>4318</v>
      </c>
      <c r="N201" s="297" t="str">
        <f>IF(M201="sans alignement","",IF(M201="tout alignement", """1_LB"", ""2_NB"", ""3_CB"", ""4_LN"", ""5_NN"", ""6_CN"", ""7_LM"", ""8_NM"", ""9_CM""",IF(M201="tout alignement non bon", """4_LN"", ""5_NN"", ""6_CN"", ""7_LM"", ""8_NM"", ""9_CM""",IF(M201="tout alignement mauvais", """7_LM"", ""8_NM"", ""9_CM""",IF(M201="tout alignement chaotique", """3_CB"", ""6_CN"", ""9_CM""",IF(M201="tout alignement non loyal", """2_NB"", ""3_CB"", ""5_NN"", ""6_CN"", ""8_NM"", ""9_CM""",""""&amp;VLOOKUP(M201,Alignements!$A$2:$B$10,2, FALSE)&amp;""""))))))</f>
        <v>"1_LB"</v>
      </c>
      <c r="O201" s="298"/>
      <c r="P201" t="str">
        <f t="shared" si="11"/>
        <v>"Dragon d'argent, jeune": {
  "Name" : "Dragon d'argent, jeune",
  "VO" : "Young Silver Dragon",
  "Family" : "DRAGON",
  "Species" : [""],
  "FP" : "9", 
  "Size" : "G",
  "AC" : 18,
  "HP" : 168, 
  "Speed" : "vol",
  "Alignments" : ["1_LB"],
  "Legendary" : ""}</v>
      </c>
    </row>
    <row r="202" spans="1:16" ht="21">
      <c r="A202" s="61" t="s">
        <v>4481</v>
      </c>
      <c r="B202" s="297" t="s">
        <v>4482</v>
      </c>
      <c r="C202" s="305">
        <v>2</v>
      </c>
      <c r="D202" s="297" t="s">
        <v>4451</v>
      </c>
      <c r="E202" s="297" t="str">
        <f t="shared" si="9"/>
        <v>Dragon</v>
      </c>
      <c r="F202" s="297" t="str">
        <f>VLOOKUP(E202,'Types de monstres'!$A$2:$B$17,2,FALSE)</f>
        <v>DRAGON</v>
      </c>
      <c r="G202" s="297" t="str">
        <f t="shared" si="10"/>
        <v/>
      </c>
      <c r="H202" s="297" t="str">
        <f>IF(OR(G202="",G202="toute race"),"",VLOOKUP(G202,'Types de monstres'!$F$2:$G$49,2,FALSE))</f>
        <v/>
      </c>
      <c r="I202" s="297" t="s">
        <v>4091</v>
      </c>
      <c r="J202" s="302">
        <v>17</v>
      </c>
      <c r="K202" s="302">
        <v>45</v>
      </c>
      <c r="L202" s="297" t="s">
        <v>4092</v>
      </c>
      <c r="M202" s="297" t="s">
        <v>4318</v>
      </c>
      <c r="N202" s="297" t="str">
        <f>IF(M202="sans alignement","",IF(M202="tout alignement", """1_LB"", ""2_NB"", ""3_CB"", ""4_LN"", ""5_NN"", ""6_CN"", ""7_LM"", ""8_NM"", ""9_CM""",IF(M202="tout alignement non bon", """4_LN"", ""5_NN"", ""6_CN"", ""7_LM"", ""8_NM"", ""9_CM""",IF(M202="tout alignement mauvais", """7_LM"", ""8_NM"", ""9_CM""",IF(M202="tout alignement chaotique", """3_CB"", ""6_CN"", ""9_CM""",IF(M202="tout alignement non loyal", """2_NB"", ""3_CB"", ""5_NN"", ""6_CN"", ""8_NM"", ""9_CM""",""""&amp;VLOOKUP(M202,Alignements!$A$2:$B$10,2, FALSE)&amp;""""))))))</f>
        <v>"1_LB"</v>
      </c>
      <c r="O202" s="297"/>
      <c r="P202" t="str">
        <f t="shared" si="11"/>
        <v>"Dragon d'argent, nouveau-né": {
  "Name" : "Dragon d'argent, nouveau-né",
  "VO" : "Silver Dragon Wyrmling",
  "Family" : "DRAGON",
  "Species" : [""],
  "FP" : "2", 
  "Size" : "M",
  "AC" : 17,
  "HP" : 45, 
  "Speed" : "vol",
  "Alignments" : ["1_LB"],
  "Legendary" : ""}</v>
      </c>
    </row>
    <row r="203" spans="1:16" ht="21">
      <c r="A203" s="61" t="s">
        <v>4483</v>
      </c>
      <c r="B203" s="298" t="s">
        <v>4484</v>
      </c>
      <c r="C203" s="306">
        <v>13</v>
      </c>
      <c r="D203" s="298" t="s">
        <v>4451</v>
      </c>
      <c r="E203" s="297" t="str">
        <f t="shared" si="9"/>
        <v>Dragon</v>
      </c>
      <c r="F203" s="297" t="str">
        <f>VLOOKUP(E203,'Types de monstres'!$A$2:$B$17,2,FALSE)</f>
        <v>DRAGON</v>
      </c>
      <c r="G203" s="297" t="str">
        <f t="shared" si="10"/>
        <v/>
      </c>
      <c r="H203" s="297" t="str">
        <f>IF(OR(G203="",G203="toute race"),"",VLOOKUP(G203,'Types de monstres'!$F$2:$G$49,2,FALSE))</f>
        <v/>
      </c>
      <c r="I203" s="298" t="s">
        <v>4112</v>
      </c>
      <c r="J203" s="300">
        <v>18</v>
      </c>
      <c r="K203" s="300">
        <v>178</v>
      </c>
      <c r="L203" s="298" t="s">
        <v>4092</v>
      </c>
      <c r="M203" s="298" t="s">
        <v>4137</v>
      </c>
      <c r="N203" s="297" t="str">
        <f>IF(M203="sans alignement","",IF(M203="tout alignement", """1_LB"", ""2_NB"", ""3_CB"", ""4_LN"", ""5_NN"", ""6_CN"", ""7_LM"", ""8_NM"", ""9_CM""",IF(M203="tout alignement non bon", """4_LN"", ""5_NN"", ""6_CN"", ""7_LM"", ""8_NM"", ""9_CM""",IF(M203="tout alignement mauvais", """7_LM"", ""8_NM"", ""9_CM""",IF(M203="tout alignement chaotique", """3_CB"", ""6_CN"", ""9_CM""",IF(M203="tout alignement non loyal", """2_NB"", ""3_CB"", ""5_NN"", ""6_CN"", ""8_NM"", ""9_CM""",""""&amp;VLOOKUP(M203,Alignements!$A$2:$B$10,2, FALSE)&amp;""""))))))</f>
        <v>"9_CM"</v>
      </c>
      <c r="O203" s="298"/>
      <c r="P203" t="str">
        <f t="shared" si="11"/>
        <v>"Dragon d'ombre rouge, jeune": {
  "Name" : "Dragon d'ombre rouge, jeune",
  "VO" : "Young Red Shadow Dragon",
  "Family" : "DRAGON",
  "Species" : [""],
  "FP" : "13", 
  "Size" : "G",
  "AC" : 18,
  "HP" : 178, 
  "Speed" : "vol",
  "Alignments" : ["9_CM"],
  "Legendary" : ""}</v>
      </c>
    </row>
    <row r="204" spans="1:16">
      <c r="A204" s="61" t="s">
        <v>4485</v>
      </c>
      <c r="B204" s="297" t="s">
        <v>4486</v>
      </c>
      <c r="C204" s="305">
        <v>17</v>
      </c>
      <c r="D204" s="297" t="s">
        <v>4451</v>
      </c>
      <c r="E204" s="297" t="str">
        <f t="shared" si="9"/>
        <v>Dragon</v>
      </c>
      <c r="F204" s="297" t="str">
        <f>VLOOKUP(E204,'Types de monstres'!$A$2:$B$17,2,FALSE)</f>
        <v>DRAGON</v>
      </c>
      <c r="G204" s="297" t="str">
        <f t="shared" si="10"/>
        <v/>
      </c>
      <c r="H204" s="297" t="str">
        <f>IF(OR(G204="",G204="toute race"),"",VLOOKUP(G204,'Types de monstres'!$F$2:$G$49,2,FALSE))</f>
        <v/>
      </c>
      <c r="I204" s="297" t="s">
        <v>4149</v>
      </c>
      <c r="J204" s="302">
        <v>19</v>
      </c>
      <c r="K204" s="302">
        <v>256</v>
      </c>
      <c r="L204" s="297" t="s">
        <v>4452</v>
      </c>
      <c r="M204" s="297" t="s">
        <v>4318</v>
      </c>
      <c r="N204" s="297" t="str">
        <f>IF(M204="sans alignement","",IF(M204="tout alignement", """1_LB"", ""2_NB"", ""3_CB"", ""4_LN"", ""5_NN"", ""6_CN"", ""7_LM"", ""8_NM"", ""9_CM""",IF(M204="tout alignement non bon", """4_LN"", ""5_NN"", ""6_CN"", ""7_LM"", ""8_NM"", ""9_CM""",IF(M204="tout alignement mauvais", """7_LM"", ""8_NM"", ""9_CM""",IF(M204="tout alignement chaotique", """3_CB"", ""6_CN"", ""9_CM""",IF(M204="tout alignement non loyal", """2_NB"", ""3_CB"", ""5_NN"", ""6_CN"", ""8_NM"", ""9_CM""",""""&amp;VLOOKUP(M204,Alignements!$A$2:$B$10,2, FALSE)&amp;""""))))))</f>
        <v>"1_LB"</v>
      </c>
      <c r="O204" s="297" t="s">
        <v>4114</v>
      </c>
      <c r="P204" t="str">
        <f t="shared" si="11"/>
        <v>"Dragon d'or, adulte": {
  "Name" : "Dragon d'or, adulte",
  "VO" : "Adult Gold Dragon",
  "Family" : "DRAGON",
  "Species" : [""],
  "FP" : "17", 
  "Size" : "TG",
  "AC" : 19,
  "HP" : 256, 
  "Speed" : "vol, nage",
  "Alignments" : ["1_LB"],
  "Legendary" : "Légendaire"}</v>
      </c>
    </row>
    <row r="205" spans="1:16" ht="21">
      <c r="A205" s="61" t="s">
        <v>4487</v>
      </c>
      <c r="B205" s="298" t="s">
        <v>4488</v>
      </c>
      <c r="C205" s="306">
        <v>24</v>
      </c>
      <c r="D205" s="298" t="s">
        <v>4451</v>
      </c>
      <c r="E205" s="297" t="str">
        <f t="shared" si="9"/>
        <v>Dragon</v>
      </c>
      <c r="F205" s="297" t="str">
        <f>VLOOKUP(E205,'Types de monstres'!$A$2:$B$17,2,FALSE)</f>
        <v>DRAGON</v>
      </c>
      <c r="G205" s="297" t="str">
        <f t="shared" si="10"/>
        <v/>
      </c>
      <c r="H205" s="297" t="str">
        <f>IF(OR(G205="",G205="toute race"),"",VLOOKUP(G205,'Types de monstres'!$F$2:$G$49,2,FALSE))</f>
        <v/>
      </c>
      <c r="I205" s="298" t="s">
        <v>4371</v>
      </c>
      <c r="J205" s="300">
        <v>22</v>
      </c>
      <c r="K205" s="300">
        <v>546</v>
      </c>
      <c r="L205" s="298" t="s">
        <v>4452</v>
      </c>
      <c r="M205" s="298" t="s">
        <v>4318</v>
      </c>
      <c r="N205" s="297" t="str">
        <f>IF(M205="sans alignement","",IF(M205="tout alignement", """1_LB"", ""2_NB"", ""3_CB"", ""4_LN"", ""5_NN"", ""6_CN"", ""7_LM"", ""8_NM"", ""9_CM""",IF(M205="tout alignement non bon", """4_LN"", ""5_NN"", ""6_CN"", ""7_LM"", ""8_NM"", ""9_CM""",IF(M205="tout alignement mauvais", """7_LM"", ""8_NM"", ""9_CM""",IF(M205="tout alignement chaotique", """3_CB"", ""6_CN"", ""9_CM""",IF(M205="tout alignement non loyal", """2_NB"", ""3_CB"", ""5_NN"", ""6_CN"", ""8_NM"", ""9_CM""",""""&amp;VLOOKUP(M205,Alignements!$A$2:$B$10,2, FALSE)&amp;""""))))))</f>
        <v>"1_LB"</v>
      </c>
      <c r="O205" s="298" t="s">
        <v>4114</v>
      </c>
      <c r="P205" t="str">
        <f t="shared" si="11"/>
        <v>"Dragon d'or, ancien": {
  "Name" : "Dragon d'or, ancien",
  "VO" : "Ancient Gold Dragon",
  "Family" : "DRAGON",
  "Species" : [""],
  "FP" : "24", 
  "Size" : "Gig",
  "AC" : 22,
  "HP" : 546, 
  "Speed" : "vol, nage",
  "Alignments" : ["1_LB"],
  "Legendary" : "Légendaire"}</v>
      </c>
    </row>
    <row r="206" spans="1:16">
      <c r="A206" s="61" t="s">
        <v>4489</v>
      </c>
      <c r="B206" s="297" t="s">
        <v>4490</v>
      </c>
      <c r="C206" s="305">
        <v>10</v>
      </c>
      <c r="D206" s="297" t="s">
        <v>4451</v>
      </c>
      <c r="E206" s="297" t="str">
        <f t="shared" si="9"/>
        <v>Dragon</v>
      </c>
      <c r="F206" s="297" t="str">
        <f>VLOOKUP(E206,'Types de monstres'!$A$2:$B$17,2,FALSE)</f>
        <v>DRAGON</v>
      </c>
      <c r="G206" s="297" t="str">
        <f t="shared" si="10"/>
        <v/>
      </c>
      <c r="H206" s="297" t="str">
        <f>IF(OR(G206="",G206="toute race"),"",VLOOKUP(G206,'Types de monstres'!$F$2:$G$49,2,FALSE))</f>
        <v/>
      </c>
      <c r="I206" s="297" t="s">
        <v>4112</v>
      </c>
      <c r="J206" s="302">
        <v>18</v>
      </c>
      <c r="K206" s="302">
        <v>178</v>
      </c>
      <c r="L206" s="297" t="s">
        <v>4452</v>
      </c>
      <c r="M206" s="297" t="s">
        <v>4318</v>
      </c>
      <c r="N206" s="297" t="str">
        <f>IF(M206="sans alignement","",IF(M206="tout alignement", """1_LB"", ""2_NB"", ""3_CB"", ""4_LN"", ""5_NN"", ""6_CN"", ""7_LM"", ""8_NM"", ""9_CM""",IF(M206="tout alignement non bon", """4_LN"", ""5_NN"", ""6_CN"", ""7_LM"", ""8_NM"", ""9_CM""",IF(M206="tout alignement mauvais", """7_LM"", ""8_NM"", ""9_CM""",IF(M206="tout alignement chaotique", """3_CB"", ""6_CN"", ""9_CM""",IF(M206="tout alignement non loyal", """2_NB"", ""3_CB"", ""5_NN"", ""6_CN"", ""8_NM"", ""9_CM""",""""&amp;VLOOKUP(M206,Alignements!$A$2:$B$10,2, FALSE)&amp;""""))))))</f>
        <v>"1_LB"</v>
      </c>
      <c r="O206" s="297"/>
      <c r="P206" t="str">
        <f t="shared" si="11"/>
        <v>"Dragon d'or, jeune": {
  "Name" : "Dragon d'or, jeune",
  "VO" : "Young Gold Dragon",
  "Family" : "DRAGON",
  "Species" : [""],
  "FP" : "10", 
  "Size" : "G",
  "AC" : 18,
  "HP" : 178, 
  "Speed" : "vol, nage",
  "Alignments" : ["1_LB"],
  "Legendary" : ""}</v>
      </c>
    </row>
    <row r="207" spans="1:16" ht="21">
      <c r="A207" s="61" t="s">
        <v>4491</v>
      </c>
      <c r="B207" s="298" t="s">
        <v>4492</v>
      </c>
      <c r="C207" s="306">
        <v>3</v>
      </c>
      <c r="D207" s="298" t="s">
        <v>4451</v>
      </c>
      <c r="E207" s="297" t="str">
        <f t="shared" si="9"/>
        <v>Dragon</v>
      </c>
      <c r="F207" s="297" t="str">
        <f>VLOOKUP(E207,'Types de monstres'!$A$2:$B$17,2,FALSE)</f>
        <v>DRAGON</v>
      </c>
      <c r="G207" s="297" t="str">
        <f t="shared" si="10"/>
        <v/>
      </c>
      <c r="H207" s="297" t="str">
        <f>IF(OR(G207="",G207="toute race"),"",VLOOKUP(G207,'Types de monstres'!$F$2:$G$49,2,FALSE))</f>
        <v/>
      </c>
      <c r="I207" s="298" t="s">
        <v>4091</v>
      </c>
      <c r="J207" s="300">
        <v>17</v>
      </c>
      <c r="K207" s="300">
        <v>60</v>
      </c>
      <c r="L207" s="298" t="s">
        <v>4452</v>
      </c>
      <c r="M207" s="298" t="s">
        <v>4318</v>
      </c>
      <c r="N207" s="297" t="str">
        <f>IF(M207="sans alignement","",IF(M207="tout alignement", """1_LB"", ""2_NB"", ""3_CB"", ""4_LN"", ""5_NN"", ""6_CN"", ""7_LM"", ""8_NM"", ""9_CM""",IF(M207="tout alignement non bon", """4_LN"", ""5_NN"", ""6_CN"", ""7_LM"", ""8_NM"", ""9_CM""",IF(M207="tout alignement mauvais", """7_LM"", ""8_NM"", ""9_CM""",IF(M207="tout alignement chaotique", """3_CB"", ""6_CN"", ""9_CM""",IF(M207="tout alignement non loyal", """2_NB"", ""3_CB"", ""5_NN"", ""6_CN"", ""8_NM"", ""9_CM""",""""&amp;VLOOKUP(M207,Alignements!$A$2:$B$10,2, FALSE)&amp;""""))))))</f>
        <v>"1_LB"</v>
      </c>
      <c r="O207" s="298"/>
      <c r="P207" t="str">
        <f t="shared" si="11"/>
        <v>"Dragon d'or, nouveau-né": {
  "Name" : "Dragon d'or, nouveau-né",
  "VO" : "Gold Dragon Wyrmling",
  "Family" : "DRAGON",
  "Species" : [""],
  "FP" : "3", 
  "Size" : "M",
  "AC" : 17,
  "HP" : 60, 
  "Speed" : "vol, nage",
  "Alignments" : ["1_LB"],
  "Legendary" : ""}</v>
      </c>
    </row>
    <row r="208" spans="1:16" ht="21">
      <c r="A208" s="61" t="s">
        <v>4493</v>
      </c>
      <c r="B208" s="297" t="s">
        <v>4494</v>
      </c>
      <c r="C208" s="305">
        <v>15</v>
      </c>
      <c r="D208" s="297" t="s">
        <v>4451</v>
      </c>
      <c r="E208" s="297" t="str">
        <f t="shared" si="9"/>
        <v>Dragon</v>
      </c>
      <c r="F208" s="297" t="str">
        <f>VLOOKUP(E208,'Types de monstres'!$A$2:$B$17,2,FALSE)</f>
        <v>DRAGON</v>
      </c>
      <c r="G208" s="297" t="str">
        <f t="shared" si="10"/>
        <v/>
      </c>
      <c r="H208" s="297" t="str">
        <f>IF(OR(G208="",G208="toute race"),"",VLOOKUP(G208,'Types de monstres'!$F$2:$G$49,2,FALSE))</f>
        <v/>
      </c>
      <c r="I208" s="297" t="s">
        <v>4149</v>
      </c>
      <c r="J208" s="302">
        <v>19</v>
      </c>
      <c r="K208" s="302">
        <v>212</v>
      </c>
      <c r="L208" s="297" t="s">
        <v>4452</v>
      </c>
      <c r="M208" s="297" t="s">
        <v>4318</v>
      </c>
      <c r="N208" s="297" t="str">
        <f>IF(M208="sans alignement","",IF(M208="tout alignement", """1_LB"", ""2_NB"", ""3_CB"", ""4_LN"", ""5_NN"", ""6_CN"", ""7_LM"", ""8_NM"", ""9_CM""",IF(M208="tout alignement non bon", """4_LN"", ""5_NN"", ""6_CN"", ""7_LM"", ""8_NM"", ""9_CM""",IF(M208="tout alignement mauvais", """7_LM"", ""8_NM"", ""9_CM""",IF(M208="tout alignement chaotique", """3_CB"", ""6_CN"", ""9_CM""",IF(M208="tout alignement non loyal", """2_NB"", ""3_CB"", ""5_NN"", ""6_CN"", ""8_NM"", ""9_CM""",""""&amp;VLOOKUP(M208,Alignements!$A$2:$B$10,2, FALSE)&amp;""""))))))</f>
        <v>"1_LB"</v>
      </c>
      <c r="O208" s="297" t="s">
        <v>4114</v>
      </c>
      <c r="P208" t="str">
        <f t="shared" si="11"/>
        <v>"Dragon de bronze, adulte": {
  "Name" : "Dragon de bronze, adulte",
  "VO" : "Adult Bronze Dragon",
  "Family" : "DRAGON",
  "Species" : [""],
  "FP" : "15", 
  "Size" : "TG",
  "AC" : 19,
  "HP" : 212, 
  "Speed" : "vol, nage",
  "Alignments" : ["1_LB"],
  "Legendary" : "Légendaire"}</v>
      </c>
    </row>
    <row r="209" spans="1:16" ht="21">
      <c r="A209" s="61" t="s">
        <v>4495</v>
      </c>
      <c r="B209" s="298" t="s">
        <v>4496</v>
      </c>
      <c r="C209" s="306">
        <v>22</v>
      </c>
      <c r="D209" s="298" t="s">
        <v>4451</v>
      </c>
      <c r="E209" s="297" t="str">
        <f t="shared" si="9"/>
        <v>Dragon</v>
      </c>
      <c r="F209" s="297" t="str">
        <f>VLOOKUP(E209,'Types de monstres'!$A$2:$B$17,2,FALSE)</f>
        <v>DRAGON</v>
      </c>
      <c r="G209" s="297" t="str">
        <f t="shared" si="10"/>
        <v/>
      </c>
      <c r="H209" s="297" t="str">
        <f>IF(OR(G209="",G209="toute race"),"",VLOOKUP(G209,'Types de monstres'!$F$2:$G$49,2,FALSE))</f>
        <v/>
      </c>
      <c r="I209" s="298" t="s">
        <v>4371</v>
      </c>
      <c r="J209" s="300">
        <v>22</v>
      </c>
      <c r="K209" s="300">
        <v>444</v>
      </c>
      <c r="L209" s="298" t="s">
        <v>4452</v>
      </c>
      <c r="M209" s="298" t="s">
        <v>4318</v>
      </c>
      <c r="N209" s="297" t="str">
        <f>IF(M209="sans alignement","",IF(M209="tout alignement", """1_LB"", ""2_NB"", ""3_CB"", ""4_LN"", ""5_NN"", ""6_CN"", ""7_LM"", ""8_NM"", ""9_CM""",IF(M209="tout alignement non bon", """4_LN"", ""5_NN"", ""6_CN"", ""7_LM"", ""8_NM"", ""9_CM""",IF(M209="tout alignement mauvais", """7_LM"", ""8_NM"", ""9_CM""",IF(M209="tout alignement chaotique", """3_CB"", ""6_CN"", ""9_CM""",IF(M209="tout alignement non loyal", """2_NB"", ""3_CB"", ""5_NN"", ""6_CN"", ""8_NM"", ""9_CM""",""""&amp;VLOOKUP(M209,Alignements!$A$2:$B$10,2, FALSE)&amp;""""))))))</f>
        <v>"1_LB"</v>
      </c>
      <c r="O209" s="298" t="s">
        <v>4114</v>
      </c>
      <c r="P209" t="str">
        <f t="shared" si="11"/>
        <v>"Dragon de bronze, ancien": {
  "Name" : "Dragon de bronze, ancien",
  "VO" : "Ancient Bronze Dragon",
  "Family" : "DRAGON",
  "Species" : [""],
  "FP" : "22", 
  "Size" : "Gig",
  "AC" : 22,
  "HP" : 444, 
  "Speed" : "vol, nage",
  "Alignments" : ["1_LB"],
  "Legendary" : "Légendaire"}</v>
      </c>
    </row>
    <row r="210" spans="1:16" ht="21">
      <c r="A210" s="61" t="s">
        <v>4497</v>
      </c>
      <c r="B210" s="297" t="s">
        <v>4498</v>
      </c>
      <c r="C210" s="305">
        <v>8</v>
      </c>
      <c r="D210" s="297" t="s">
        <v>4451</v>
      </c>
      <c r="E210" s="297" t="str">
        <f t="shared" si="9"/>
        <v>Dragon</v>
      </c>
      <c r="F210" s="297" t="str">
        <f>VLOOKUP(E210,'Types de monstres'!$A$2:$B$17,2,FALSE)</f>
        <v>DRAGON</v>
      </c>
      <c r="G210" s="297" t="str">
        <f t="shared" si="10"/>
        <v/>
      </c>
      <c r="H210" s="297" t="str">
        <f>IF(OR(G210="",G210="toute race"),"",VLOOKUP(G210,'Types de monstres'!$F$2:$G$49,2,FALSE))</f>
        <v/>
      </c>
      <c r="I210" s="297" t="s">
        <v>4112</v>
      </c>
      <c r="J210" s="302">
        <v>18</v>
      </c>
      <c r="K210" s="302">
        <v>142</v>
      </c>
      <c r="L210" s="297" t="s">
        <v>4452</v>
      </c>
      <c r="M210" s="297" t="s">
        <v>4318</v>
      </c>
      <c r="N210" s="297" t="str">
        <f>IF(M210="sans alignement","",IF(M210="tout alignement", """1_LB"", ""2_NB"", ""3_CB"", ""4_LN"", ""5_NN"", ""6_CN"", ""7_LM"", ""8_NM"", ""9_CM""",IF(M210="tout alignement non bon", """4_LN"", ""5_NN"", ""6_CN"", ""7_LM"", ""8_NM"", ""9_CM""",IF(M210="tout alignement mauvais", """7_LM"", ""8_NM"", ""9_CM""",IF(M210="tout alignement chaotique", """3_CB"", ""6_CN"", ""9_CM""",IF(M210="tout alignement non loyal", """2_NB"", ""3_CB"", ""5_NN"", ""6_CN"", ""8_NM"", ""9_CM""",""""&amp;VLOOKUP(M210,Alignements!$A$2:$B$10,2, FALSE)&amp;""""))))))</f>
        <v>"1_LB"</v>
      </c>
      <c r="O210" s="297"/>
      <c r="P210" t="str">
        <f t="shared" si="11"/>
        <v>"Dragon de bronze, jeune": {
  "Name" : "Dragon de bronze, jeune",
  "VO" : "Young Bronze Dragon",
  "Family" : "DRAGON",
  "Species" : [""],
  "FP" : "8", 
  "Size" : "G",
  "AC" : 18,
  "HP" : 142, 
  "Speed" : "vol, nage",
  "Alignments" : ["1_LB"],
  "Legendary" : ""}</v>
      </c>
    </row>
    <row r="211" spans="1:16" ht="21">
      <c r="A211" s="61" t="s">
        <v>4499</v>
      </c>
      <c r="B211" s="298" t="s">
        <v>4500</v>
      </c>
      <c r="C211" s="306">
        <v>2</v>
      </c>
      <c r="D211" s="298" t="s">
        <v>4451</v>
      </c>
      <c r="E211" s="297" t="str">
        <f t="shared" si="9"/>
        <v>Dragon</v>
      </c>
      <c r="F211" s="297" t="str">
        <f>VLOOKUP(E211,'Types de monstres'!$A$2:$B$17,2,FALSE)</f>
        <v>DRAGON</v>
      </c>
      <c r="G211" s="297" t="str">
        <f t="shared" si="10"/>
        <v/>
      </c>
      <c r="H211" s="297" t="str">
        <f>IF(OR(G211="",G211="toute race"),"",VLOOKUP(G211,'Types de monstres'!$F$2:$G$49,2,FALSE))</f>
        <v/>
      </c>
      <c r="I211" s="298" t="s">
        <v>4091</v>
      </c>
      <c r="J211" s="300">
        <v>17</v>
      </c>
      <c r="K211" s="300">
        <v>32</v>
      </c>
      <c r="L211" s="298" t="s">
        <v>4452</v>
      </c>
      <c r="M211" s="298" t="s">
        <v>4318</v>
      </c>
      <c r="N211" s="297" t="str">
        <f>IF(M211="sans alignement","",IF(M211="tout alignement", """1_LB"", ""2_NB"", ""3_CB"", ""4_LN"", ""5_NN"", ""6_CN"", ""7_LM"", ""8_NM"", ""9_CM""",IF(M211="tout alignement non bon", """4_LN"", ""5_NN"", ""6_CN"", ""7_LM"", ""8_NM"", ""9_CM""",IF(M211="tout alignement mauvais", """7_LM"", ""8_NM"", ""9_CM""",IF(M211="tout alignement chaotique", """3_CB"", ""6_CN"", ""9_CM""",IF(M211="tout alignement non loyal", """2_NB"", ""3_CB"", ""5_NN"", ""6_CN"", ""8_NM"", ""9_CM""",""""&amp;VLOOKUP(M211,Alignements!$A$2:$B$10,2, FALSE)&amp;""""))))))</f>
        <v>"1_LB"</v>
      </c>
      <c r="O211" s="298"/>
      <c r="P211" t="str">
        <f t="shared" si="11"/>
        <v>"Dragon de bronze, nouveau-né": {
  "Name" : "Dragon de bronze, nouveau-né",
  "VO" : "Bronze Dragon Wyrmling",
  "Family" : "DRAGON",
  "Species" : [""],
  "FP" : "2", 
  "Size" : "M",
  "AC" : 17,
  "HP" : 32, 
  "Speed" : "vol, nage",
  "Alignments" : ["1_LB"],
  "Legendary" : ""}</v>
      </c>
    </row>
    <row r="212" spans="1:16" ht="21">
      <c r="A212" s="61" t="s">
        <v>4501</v>
      </c>
      <c r="B212" s="297" t="s">
        <v>4502</v>
      </c>
      <c r="C212" s="305">
        <v>14</v>
      </c>
      <c r="D212" s="297" t="s">
        <v>4451</v>
      </c>
      <c r="E212" s="297" t="str">
        <f t="shared" si="9"/>
        <v>Dragon</v>
      </c>
      <c r="F212" s="297" t="str">
        <f>VLOOKUP(E212,'Types de monstres'!$A$2:$B$17,2,FALSE)</f>
        <v>DRAGON</v>
      </c>
      <c r="G212" s="297" t="str">
        <f t="shared" si="10"/>
        <v/>
      </c>
      <c r="H212" s="297" t="str">
        <f>IF(OR(G212="",G212="toute race"),"",VLOOKUP(G212,'Types de monstres'!$F$2:$G$49,2,FALSE))</f>
        <v/>
      </c>
      <c r="I212" s="297" t="s">
        <v>4149</v>
      </c>
      <c r="J212" s="302">
        <v>18</v>
      </c>
      <c r="K212" s="302">
        <v>184</v>
      </c>
      <c r="L212" s="297" t="s">
        <v>4092</v>
      </c>
      <c r="M212" s="297" t="s">
        <v>4439</v>
      </c>
      <c r="N212" s="297" t="str">
        <f>IF(M212="sans alignement","",IF(M212="tout alignement", """1_LB"", ""2_NB"", ""3_CB"", ""4_LN"", ""5_NN"", ""6_CN"", ""7_LM"", ""8_NM"", ""9_CM""",IF(M212="tout alignement non bon", """4_LN"", ""5_NN"", ""6_CN"", ""7_LM"", ""8_NM"", ""9_CM""",IF(M212="tout alignement mauvais", """7_LM"", ""8_NM"", ""9_CM""",IF(M212="tout alignement chaotique", """3_CB"", ""6_CN"", ""9_CM""",IF(M212="tout alignement non loyal", """2_NB"", ""3_CB"", ""5_NN"", ""6_CN"", ""8_NM"", ""9_CM""",""""&amp;VLOOKUP(M212,Alignements!$A$2:$B$10,2, FALSE)&amp;""""))))))</f>
        <v>"3_CB"</v>
      </c>
      <c r="O212" s="297" t="s">
        <v>4114</v>
      </c>
      <c r="P212" t="str">
        <f t="shared" si="11"/>
        <v>"Dragon de cuivre, adulte": {
  "Name" : "Dragon de cuivre, adulte",
  "VO" : "Adult Copper Dragon",
  "Family" : "DRAGON",
  "Species" : [""],
  "FP" : "14", 
  "Size" : "TG",
  "AC" : 18,
  "HP" : 184, 
  "Speed" : "vol",
  "Alignments" : ["3_CB"],
  "Legendary" : "Légendaire"}</v>
      </c>
    </row>
    <row r="213" spans="1:16" ht="21">
      <c r="A213" s="61" t="s">
        <v>4503</v>
      </c>
      <c r="B213" s="298" t="s">
        <v>4504</v>
      </c>
      <c r="C213" s="306">
        <v>21</v>
      </c>
      <c r="D213" s="298" t="s">
        <v>4451</v>
      </c>
      <c r="E213" s="297" t="str">
        <f t="shared" si="9"/>
        <v>Dragon</v>
      </c>
      <c r="F213" s="297" t="str">
        <f>VLOOKUP(E213,'Types de monstres'!$A$2:$B$17,2,FALSE)</f>
        <v>DRAGON</v>
      </c>
      <c r="G213" s="297" t="str">
        <f t="shared" si="10"/>
        <v/>
      </c>
      <c r="H213" s="297" t="str">
        <f>IF(OR(G213="",G213="toute race"),"",VLOOKUP(G213,'Types de monstres'!$F$2:$G$49,2,FALSE))</f>
        <v/>
      </c>
      <c r="I213" s="298" t="s">
        <v>4371</v>
      </c>
      <c r="J213" s="300">
        <v>21</v>
      </c>
      <c r="K213" s="300">
        <v>350</v>
      </c>
      <c r="L213" s="298" t="s">
        <v>4092</v>
      </c>
      <c r="M213" s="298" t="s">
        <v>4439</v>
      </c>
      <c r="N213" s="297" t="str">
        <f>IF(M213="sans alignement","",IF(M213="tout alignement", """1_LB"", ""2_NB"", ""3_CB"", ""4_LN"", ""5_NN"", ""6_CN"", ""7_LM"", ""8_NM"", ""9_CM""",IF(M213="tout alignement non bon", """4_LN"", ""5_NN"", ""6_CN"", ""7_LM"", ""8_NM"", ""9_CM""",IF(M213="tout alignement mauvais", """7_LM"", ""8_NM"", ""9_CM""",IF(M213="tout alignement chaotique", """3_CB"", ""6_CN"", ""9_CM""",IF(M213="tout alignement non loyal", """2_NB"", ""3_CB"", ""5_NN"", ""6_CN"", ""8_NM"", ""9_CM""",""""&amp;VLOOKUP(M213,Alignements!$A$2:$B$10,2, FALSE)&amp;""""))))))</f>
        <v>"3_CB"</v>
      </c>
      <c r="O213" s="298" t="s">
        <v>4114</v>
      </c>
      <c r="P213" t="str">
        <f t="shared" si="11"/>
        <v>"Dragon de cuivre, ancien": {
  "Name" : "Dragon de cuivre, ancien",
  "VO" : "Ancient Copper Dragon",
  "Family" : "DRAGON",
  "Species" : [""],
  "FP" : "21", 
  "Size" : "Gig",
  "AC" : 21,
  "HP" : 350, 
  "Speed" : "vol",
  "Alignments" : ["3_CB"],
  "Legendary" : "Légendaire"}</v>
      </c>
    </row>
    <row r="214" spans="1:16" ht="21">
      <c r="A214" s="61" t="s">
        <v>4505</v>
      </c>
      <c r="B214" s="297" t="s">
        <v>4506</v>
      </c>
      <c r="C214" s="305">
        <v>7</v>
      </c>
      <c r="D214" s="297" t="s">
        <v>4451</v>
      </c>
      <c r="E214" s="297" t="str">
        <f t="shared" si="9"/>
        <v>Dragon</v>
      </c>
      <c r="F214" s="297" t="str">
        <f>VLOOKUP(E214,'Types de monstres'!$A$2:$B$17,2,FALSE)</f>
        <v>DRAGON</v>
      </c>
      <c r="G214" s="297" t="str">
        <f t="shared" si="10"/>
        <v/>
      </c>
      <c r="H214" s="297" t="str">
        <f>IF(OR(G214="",G214="toute race"),"",VLOOKUP(G214,'Types de monstres'!$F$2:$G$49,2,FALSE))</f>
        <v/>
      </c>
      <c r="I214" s="297" t="s">
        <v>4112</v>
      </c>
      <c r="J214" s="302">
        <v>17</v>
      </c>
      <c r="K214" s="302">
        <v>119</v>
      </c>
      <c r="L214" s="297" t="s">
        <v>4092</v>
      </c>
      <c r="M214" s="297" t="s">
        <v>4439</v>
      </c>
      <c r="N214" s="297" t="str">
        <f>IF(M214="sans alignement","",IF(M214="tout alignement", """1_LB"", ""2_NB"", ""3_CB"", ""4_LN"", ""5_NN"", ""6_CN"", ""7_LM"", ""8_NM"", ""9_CM""",IF(M214="tout alignement non bon", """4_LN"", ""5_NN"", ""6_CN"", ""7_LM"", ""8_NM"", ""9_CM""",IF(M214="tout alignement mauvais", """7_LM"", ""8_NM"", ""9_CM""",IF(M214="tout alignement chaotique", """3_CB"", ""6_CN"", ""9_CM""",IF(M214="tout alignement non loyal", """2_NB"", ""3_CB"", ""5_NN"", ""6_CN"", ""8_NM"", ""9_CM""",""""&amp;VLOOKUP(M214,Alignements!$A$2:$B$10,2, FALSE)&amp;""""))))))</f>
        <v>"3_CB"</v>
      </c>
      <c r="O214" s="297"/>
      <c r="P214" t="str">
        <f t="shared" si="11"/>
        <v>"Dragon de cuivre, jeune": {
  "Name" : "Dragon de cuivre, jeune",
  "VO" : "Young Copper Dragon",
  "Family" : "DRAGON",
  "Species" : [""],
  "FP" : "7", 
  "Size" : "G",
  "AC" : 17,
  "HP" : 119, 
  "Speed" : "vol",
  "Alignments" : ["3_CB"],
  "Legendary" : ""}</v>
      </c>
    </row>
    <row r="215" spans="1:16" ht="21">
      <c r="A215" s="61" t="s">
        <v>4507</v>
      </c>
      <c r="B215" s="298" t="s">
        <v>4508</v>
      </c>
      <c r="C215" s="306">
        <v>1</v>
      </c>
      <c r="D215" s="298" t="s">
        <v>4451</v>
      </c>
      <c r="E215" s="297" t="str">
        <f t="shared" si="9"/>
        <v>Dragon</v>
      </c>
      <c r="F215" s="297" t="str">
        <f>VLOOKUP(E215,'Types de monstres'!$A$2:$B$17,2,FALSE)</f>
        <v>DRAGON</v>
      </c>
      <c r="G215" s="297" t="str">
        <f t="shared" si="10"/>
        <v/>
      </c>
      <c r="H215" s="297" t="str">
        <f>IF(OR(G215="",G215="toute race"),"",VLOOKUP(G215,'Types de monstres'!$F$2:$G$49,2,FALSE))</f>
        <v/>
      </c>
      <c r="I215" s="298" t="s">
        <v>4091</v>
      </c>
      <c r="J215" s="300">
        <v>16</v>
      </c>
      <c r="K215" s="300">
        <v>22</v>
      </c>
      <c r="L215" s="298" t="s">
        <v>4092</v>
      </c>
      <c r="M215" s="298" t="s">
        <v>4439</v>
      </c>
      <c r="N215" s="297" t="str">
        <f>IF(M215="sans alignement","",IF(M215="tout alignement", """1_LB"", ""2_NB"", ""3_CB"", ""4_LN"", ""5_NN"", ""6_CN"", ""7_LM"", ""8_NM"", ""9_CM""",IF(M215="tout alignement non bon", """4_LN"", ""5_NN"", ""6_CN"", ""7_LM"", ""8_NM"", ""9_CM""",IF(M215="tout alignement mauvais", """7_LM"", ""8_NM"", ""9_CM""",IF(M215="tout alignement chaotique", """3_CB"", ""6_CN"", ""9_CM""",IF(M215="tout alignement non loyal", """2_NB"", ""3_CB"", ""5_NN"", ""6_CN"", ""8_NM"", ""9_CM""",""""&amp;VLOOKUP(M215,Alignements!$A$2:$B$10,2, FALSE)&amp;""""))))))</f>
        <v>"3_CB"</v>
      </c>
      <c r="O215" s="298"/>
      <c r="P215" t="str">
        <f t="shared" si="11"/>
        <v>"Dragon de cuivre, nouveau-né": {
  "Name" : "Dragon de cuivre, nouveau-né",
  "VO" : "Copper Dragon Wyrmling",
  "Family" : "DRAGON",
  "Species" : [""],
  "FP" : "1", 
  "Size" : "M",
  "AC" : 16,
  "HP" : 22, 
  "Speed" : "vol",
  "Alignments" : ["3_CB"],
  "Legendary" : ""}</v>
      </c>
    </row>
    <row r="216" spans="1:16">
      <c r="A216" s="61" t="s">
        <v>4509</v>
      </c>
      <c r="B216" s="297" t="s">
        <v>4510</v>
      </c>
      <c r="C216" s="305">
        <v>1</v>
      </c>
      <c r="D216" s="297" t="s">
        <v>4451</v>
      </c>
      <c r="E216" s="297" t="str">
        <f t="shared" si="9"/>
        <v>Dragon</v>
      </c>
      <c r="F216" s="297" t="str">
        <f>VLOOKUP(E216,'Types de monstres'!$A$2:$B$17,2,FALSE)</f>
        <v>DRAGON</v>
      </c>
      <c r="G216" s="297" t="str">
        <f t="shared" si="10"/>
        <v/>
      </c>
      <c r="H216" s="297" t="str">
        <f>IF(OR(G216="",G216="toute race"),"",VLOOKUP(G216,'Types de monstres'!$F$2:$G$49,2,FALSE))</f>
        <v/>
      </c>
      <c r="I216" s="297" t="s">
        <v>4154</v>
      </c>
      <c r="J216" s="302">
        <v>15</v>
      </c>
      <c r="K216" s="302">
        <v>14</v>
      </c>
      <c r="L216" s="297" t="s">
        <v>4092</v>
      </c>
      <c r="M216" s="297" t="s">
        <v>4439</v>
      </c>
      <c r="N216" s="297" t="str">
        <f>IF(M216="sans alignement","",IF(M216="tout alignement", """1_LB"", ""2_NB"", ""3_CB"", ""4_LN"", ""5_NN"", ""6_CN"", ""7_LM"", ""8_NM"", ""9_CM""",IF(M216="tout alignement non bon", """4_LN"", ""5_NN"", ""6_CN"", ""7_LM"", ""8_NM"", ""9_CM""",IF(M216="tout alignement mauvais", """7_LM"", ""8_NM"", ""9_CM""",IF(M216="tout alignement chaotique", """3_CB"", ""6_CN"", ""9_CM""",IF(M216="tout alignement non loyal", """2_NB"", ""3_CB"", ""5_NN"", ""6_CN"", ""8_NM"", ""9_CM""",""""&amp;VLOOKUP(M216,Alignements!$A$2:$B$10,2, FALSE)&amp;""""))))))</f>
        <v>"3_CB"</v>
      </c>
      <c r="O216" s="297"/>
      <c r="P216" t="str">
        <f t="shared" si="11"/>
        <v>"Dragon féerique": {
  "Name" : "Dragon féerique",
  "VO" : "Faerie Dragon",
  "Family" : "DRAGON",
  "Species" : [""],
  "FP" : "1", 
  "Size" : "TP",
  "AC" : 15,
  "HP" : 14, 
  "Speed" : "vol",
  "Alignments" : ["3_CB"],
  "Legendary" : ""}</v>
      </c>
    </row>
    <row r="217" spans="1:16">
      <c r="A217" s="61" t="s">
        <v>4511</v>
      </c>
      <c r="B217" s="298" t="s">
        <v>4512</v>
      </c>
      <c r="C217" s="306">
        <v>14</v>
      </c>
      <c r="D217" s="298" t="s">
        <v>4451</v>
      </c>
      <c r="E217" s="297" t="str">
        <f t="shared" si="9"/>
        <v>Dragon</v>
      </c>
      <c r="F217" s="297" t="str">
        <f>VLOOKUP(E217,'Types de monstres'!$A$2:$B$17,2,FALSE)</f>
        <v>DRAGON</v>
      </c>
      <c r="G217" s="297" t="str">
        <f t="shared" si="10"/>
        <v/>
      </c>
      <c r="H217" s="297" t="str">
        <f>IF(OR(G217="",G217="toute race"),"",VLOOKUP(G217,'Types de monstres'!$F$2:$G$49,2,FALSE))</f>
        <v/>
      </c>
      <c r="I217" s="298" t="s">
        <v>4149</v>
      </c>
      <c r="J217" s="300">
        <v>19</v>
      </c>
      <c r="K217" s="300">
        <v>195</v>
      </c>
      <c r="L217" s="298" t="s">
        <v>4452</v>
      </c>
      <c r="M217" s="298" t="s">
        <v>4137</v>
      </c>
      <c r="N217" s="297" t="str">
        <f>IF(M217="sans alignement","",IF(M217="tout alignement", """1_LB"", ""2_NB"", ""3_CB"", ""4_LN"", ""5_NN"", ""6_CN"", ""7_LM"", ""8_NM"", ""9_CM""",IF(M217="tout alignement non bon", """4_LN"", ""5_NN"", ""6_CN"", ""7_LM"", ""8_NM"", ""9_CM""",IF(M217="tout alignement mauvais", """7_LM"", ""8_NM"", ""9_CM""",IF(M217="tout alignement chaotique", """3_CB"", ""6_CN"", ""9_CM""",IF(M217="tout alignement non loyal", """2_NB"", ""3_CB"", ""5_NN"", ""6_CN"", ""8_NM"", ""9_CM""",""""&amp;VLOOKUP(M217,Alignements!$A$2:$B$10,2, FALSE)&amp;""""))))))</f>
        <v>"9_CM"</v>
      </c>
      <c r="O217" s="298" t="s">
        <v>4114</v>
      </c>
      <c r="P217" t="str">
        <f t="shared" si="11"/>
        <v>"Dragon noir, adulte": {
  "Name" : "Dragon noir, adulte",
  "VO" : "Adult Black Dragon",
  "Family" : "DRAGON",
  "Species" : [""],
  "FP" : "14", 
  "Size" : "TG",
  "AC" : 19,
  "HP" : 195, 
  "Speed" : "vol, nage",
  "Alignments" : ["9_CM"],
  "Legendary" : "Légendaire"}</v>
      </c>
    </row>
    <row r="218" spans="1:16" ht="21">
      <c r="A218" s="61" t="s">
        <v>4513</v>
      </c>
      <c r="B218" s="297" t="s">
        <v>4514</v>
      </c>
      <c r="C218" s="305">
        <v>21</v>
      </c>
      <c r="D218" s="297" t="s">
        <v>4451</v>
      </c>
      <c r="E218" s="297" t="str">
        <f t="shared" si="9"/>
        <v>Dragon</v>
      </c>
      <c r="F218" s="297" t="str">
        <f>VLOOKUP(E218,'Types de monstres'!$A$2:$B$17,2,FALSE)</f>
        <v>DRAGON</v>
      </c>
      <c r="G218" s="297" t="str">
        <f t="shared" si="10"/>
        <v/>
      </c>
      <c r="H218" s="297" t="str">
        <f>IF(OR(G218="",G218="toute race"),"",VLOOKUP(G218,'Types de monstres'!$F$2:$G$49,2,FALSE))</f>
        <v/>
      </c>
      <c r="I218" s="297" t="s">
        <v>4371</v>
      </c>
      <c r="J218" s="302">
        <v>22</v>
      </c>
      <c r="K218" s="302">
        <v>367</v>
      </c>
      <c r="L218" s="297" t="s">
        <v>4452</v>
      </c>
      <c r="M218" s="297" t="s">
        <v>4137</v>
      </c>
      <c r="N218" s="297" t="str">
        <f>IF(M218="sans alignement","",IF(M218="tout alignement", """1_LB"", ""2_NB"", ""3_CB"", ""4_LN"", ""5_NN"", ""6_CN"", ""7_LM"", ""8_NM"", ""9_CM""",IF(M218="tout alignement non bon", """4_LN"", ""5_NN"", ""6_CN"", ""7_LM"", ""8_NM"", ""9_CM""",IF(M218="tout alignement mauvais", """7_LM"", ""8_NM"", ""9_CM""",IF(M218="tout alignement chaotique", """3_CB"", ""6_CN"", ""9_CM""",IF(M218="tout alignement non loyal", """2_NB"", ""3_CB"", ""5_NN"", ""6_CN"", ""8_NM"", ""9_CM""",""""&amp;VLOOKUP(M218,Alignements!$A$2:$B$10,2, FALSE)&amp;""""))))))</f>
        <v>"9_CM"</v>
      </c>
      <c r="O218" s="297" t="s">
        <v>4114</v>
      </c>
      <c r="P218" t="str">
        <f t="shared" si="11"/>
        <v>"Dragon noir, ancien": {
  "Name" : "Dragon noir, ancien",
  "VO" : "Ancient Black Dragon",
  "Family" : "DRAGON",
  "Species" : [""],
  "FP" : "21", 
  "Size" : "Gig",
  "AC" : 22,
  "HP" : 367, 
  "Speed" : "vol, nage",
  "Alignments" : ["9_CM"],
  "Legendary" : "Légendaire"}</v>
      </c>
    </row>
    <row r="219" spans="1:16" ht="21">
      <c r="A219" s="61" t="s">
        <v>4515</v>
      </c>
      <c r="B219" s="298" t="s">
        <v>4516</v>
      </c>
      <c r="C219" s="306">
        <v>7</v>
      </c>
      <c r="D219" s="298" t="s">
        <v>4451</v>
      </c>
      <c r="E219" s="297" t="str">
        <f t="shared" si="9"/>
        <v>Dragon</v>
      </c>
      <c r="F219" s="297" t="str">
        <f>VLOOKUP(E219,'Types de monstres'!$A$2:$B$17,2,FALSE)</f>
        <v>DRAGON</v>
      </c>
      <c r="G219" s="297" t="str">
        <f t="shared" si="10"/>
        <v/>
      </c>
      <c r="H219" s="297" t="str">
        <f>IF(OR(G219="",G219="toute race"),"",VLOOKUP(G219,'Types de monstres'!$F$2:$G$49,2,FALSE))</f>
        <v/>
      </c>
      <c r="I219" s="298" t="s">
        <v>4112</v>
      </c>
      <c r="J219" s="300">
        <v>18</v>
      </c>
      <c r="K219" s="300">
        <v>127</v>
      </c>
      <c r="L219" s="298" t="s">
        <v>4452</v>
      </c>
      <c r="M219" s="298" t="s">
        <v>4137</v>
      </c>
      <c r="N219" s="297" t="str">
        <f>IF(M219="sans alignement","",IF(M219="tout alignement", """1_LB"", ""2_NB"", ""3_CB"", ""4_LN"", ""5_NN"", ""6_CN"", ""7_LM"", ""8_NM"", ""9_CM""",IF(M219="tout alignement non bon", """4_LN"", ""5_NN"", ""6_CN"", ""7_LM"", ""8_NM"", ""9_CM""",IF(M219="tout alignement mauvais", """7_LM"", ""8_NM"", ""9_CM""",IF(M219="tout alignement chaotique", """3_CB"", ""6_CN"", ""9_CM""",IF(M219="tout alignement non loyal", """2_NB"", ""3_CB"", ""5_NN"", ""6_CN"", ""8_NM"", ""9_CM""",""""&amp;VLOOKUP(M219,Alignements!$A$2:$B$10,2, FALSE)&amp;""""))))))</f>
        <v>"9_CM"</v>
      </c>
      <c r="O219" s="298"/>
      <c r="P219" t="str">
        <f t="shared" si="11"/>
        <v>"Dragon noir, jeune": {
  "Name" : "Dragon noir, jeune",
  "VO" : "Young Black Dragon",
  "Family" : "DRAGON",
  "Species" : [""],
  "FP" : "7", 
  "Size" : "G",
  "AC" : 18,
  "HP" : 127, 
  "Speed" : "vol, nage",
  "Alignments" : ["9_CM"],
  "Legendary" : ""}</v>
      </c>
    </row>
    <row r="220" spans="1:16" ht="21">
      <c r="A220" s="61" t="s">
        <v>4517</v>
      </c>
      <c r="B220" s="297" t="s">
        <v>4518</v>
      </c>
      <c r="C220" s="305">
        <v>2</v>
      </c>
      <c r="D220" s="297" t="s">
        <v>4451</v>
      </c>
      <c r="E220" s="297" t="str">
        <f t="shared" si="9"/>
        <v>Dragon</v>
      </c>
      <c r="F220" s="297" t="str">
        <f>VLOOKUP(E220,'Types de monstres'!$A$2:$B$17,2,FALSE)</f>
        <v>DRAGON</v>
      </c>
      <c r="G220" s="297" t="str">
        <f t="shared" si="10"/>
        <v/>
      </c>
      <c r="H220" s="297" t="str">
        <f>IF(OR(G220="",G220="toute race"),"",VLOOKUP(G220,'Types de monstres'!$F$2:$G$49,2,FALSE))</f>
        <v/>
      </c>
      <c r="I220" s="297" t="s">
        <v>4091</v>
      </c>
      <c r="J220" s="302">
        <v>17</v>
      </c>
      <c r="K220" s="302">
        <v>33</v>
      </c>
      <c r="L220" s="297" t="s">
        <v>4452</v>
      </c>
      <c r="M220" s="297" t="s">
        <v>4137</v>
      </c>
      <c r="N220" s="297" t="str">
        <f>IF(M220="sans alignement","",IF(M220="tout alignement", """1_LB"", ""2_NB"", ""3_CB"", ""4_LN"", ""5_NN"", ""6_CN"", ""7_LM"", ""8_NM"", ""9_CM""",IF(M220="tout alignement non bon", """4_LN"", ""5_NN"", ""6_CN"", ""7_LM"", ""8_NM"", ""9_CM""",IF(M220="tout alignement mauvais", """7_LM"", ""8_NM"", ""9_CM""",IF(M220="tout alignement chaotique", """3_CB"", ""6_CN"", ""9_CM""",IF(M220="tout alignement non loyal", """2_NB"", ""3_CB"", ""5_NN"", ""6_CN"", ""8_NM"", ""9_CM""",""""&amp;VLOOKUP(M220,Alignements!$A$2:$B$10,2, FALSE)&amp;""""))))))</f>
        <v>"9_CM"</v>
      </c>
      <c r="O220" s="297"/>
      <c r="P220" t="str">
        <f t="shared" si="11"/>
        <v>"Dragon noir, nouveau-né": {
  "Name" : "Dragon noir, nouveau-né",
  "VO" : "Black Dragon Wyrmling",
  "Family" : "DRAGON",
  "Species" : [""],
  "FP" : "2", 
  "Size" : "M",
  "AC" : 17,
  "HP" : 33, 
  "Speed" : "vol, nage",
  "Alignments" : ["9_CM"],
  "Legendary" : ""}</v>
      </c>
    </row>
    <row r="221" spans="1:16">
      <c r="A221" s="61" t="s">
        <v>4519</v>
      </c>
      <c r="B221" s="298" t="s">
        <v>4520</v>
      </c>
      <c r="C221" s="306">
        <v>17</v>
      </c>
      <c r="D221" s="298" t="s">
        <v>4451</v>
      </c>
      <c r="E221" s="297" t="str">
        <f t="shared" si="9"/>
        <v>Dragon</v>
      </c>
      <c r="F221" s="297" t="str">
        <f>VLOOKUP(E221,'Types de monstres'!$A$2:$B$17,2,FALSE)</f>
        <v>DRAGON</v>
      </c>
      <c r="G221" s="297" t="str">
        <f t="shared" si="10"/>
        <v/>
      </c>
      <c r="H221" s="297" t="str">
        <f>IF(OR(G221="",G221="toute race"),"",VLOOKUP(G221,'Types de monstres'!$F$2:$G$49,2,FALSE))</f>
        <v/>
      </c>
      <c r="I221" s="298" t="s">
        <v>4149</v>
      </c>
      <c r="J221" s="300">
        <v>19</v>
      </c>
      <c r="K221" s="300">
        <v>256</v>
      </c>
      <c r="L221" s="298" t="s">
        <v>4092</v>
      </c>
      <c r="M221" s="298" t="s">
        <v>4137</v>
      </c>
      <c r="N221" s="297" t="str">
        <f>IF(M221="sans alignement","",IF(M221="tout alignement", """1_LB"", ""2_NB"", ""3_CB"", ""4_LN"", ""5_NN"", ""6_CN"", ""7_LM"", ""8_NM"", ""9_CM""",IF(M221="tout alignement non bon", """4_LN"", ""5_NN"", ""6_CN"", ""7_LM"", ""8_NM"", ""9_CM""",IF(M221="tout alignement mauvais", """7_LM"", ""8_NM"", ""9_CM""",IF(M221="tout alignement chaotique", """3_CB"", ""6_CN"", ""9_CM""",IF(M221="tout alignement non loyal", """2_NB"", ""3_CB"", ""5_NN"", ""6_CN"", ""8_NM"", ""9_CM""",""""&amp;VLOOKUP(M221,Alignements!$A$2:$B$10,2, FALSE)&amp;""""))))))</f>
        <v>"9_CM"</v>
      </c>
      <c r="O221" s="298" t="s">
        <v>4114</v>
      </c>
      <c r="P221" t="str">
        <f t="shared" si="11"/>
        <v>"Dragon rouge, adulte": {
  "Name" : "Dragon rouge, adulte",
  "VO" : "Adult Red Dragon",
  "Family" : "DRAGON",
  "Species" : [""],
  "FP" : "17", 
  "Size" : "TG",
  "AC" : 19,
  "HP" : 256, 
  "Speed" : "vol",
  "Alignments" : ["9_CM"],
  "Legendary" : "Légendaire"}</v>
      </c>
    </row>
    <row r="222" spans="1:16" ht="21">
      <c r="A222" s="61" t="s">
        <v>4521</v>
      </c>
      <c r="B222" s="297" t="s">
        <v>4522</v>
      </c>
      <c r="C222" s="305">
        <v>24</v>
      </c>
      <c r="D222" s="297" t="s">
        <v>4451</v>
      </c>
      <c r="E222" s="297" t="str">
        <f t="shared" si="9"/>
        <v>Dragon</v>
      </c>
      <c r="F222" s="297" t="str">
        <f>VLOOKUP(E222,'Types de monstres'!$A$2:$B$17,2,FALSE)</f>
        <v>DRAGON</v>
      </c>
      <c r="G222" s="297" t="str">
        <f t="shared" si="10"/>
        <v/>
      </c>
      <c r="H222" s="297" t="str">
        <f>IF(OR(G222="",G222="toute race"),"",VLOOKUP(G222,'Types de monstres'!$F$2:$G$49,2,FALSE))</f>
        <v/>
      </c>
      <c r="I222" s="297" t="s">
        <v>4371</v>
      </c>
      <c r="J222" s="302">
        <v>22</v>
      </c>
      <c r="K222" s="302">
        <v>546</v>
      </c>
      <c r="L222" s="297" t="s">
        <v>4092</v>
      </c>
      <c r="M222" s="297" t="s">
        <v>4137</v>
      </c>
      <c r="N222" s="297" t="str">
        <f>IF(M222="sans alignement","",IF(M222="tout alignement", """1_LB"", ""2_NB"", ""3_CB"", ""4_LN"", ""5_NN"", ""6_CN"", ""7_LM"", ""8_NM"", ""9_CM""",IF(M222="tout alignement non bon", """4_LN"", ""5_NN"", ""6_CN"", ""7_LM"", ""8_NM"", ""9_CM""",IF(M222="tout alignement mauvais", """7_LM"", ""8_NM"", ""9_CM""",IF(M222="tout alignement chaotique", """3_CB"", ""6_CN"", ""9_CM""",IF(M222="tout alignement non loyal", """2_NB"", ""3_CB"", ""5_NN"", ""6_CN"", ""8_NM"", ""9_CM""",""""&amp;VLOOKUP(M222,Alignements!$A$2:$B$10,2, FALSE)&amp;""""))))))</f>
        <v>"9_CM"</v>
      </c>
      <c r="O222" s="297" t="s">
        <v>4114</v>
      </c>
      <c r="P222" t="str">
        <f t="shared" si="11"/>
        <v>"Dragon rouge, ancien": {
  "Name" : "Dragon rouge, ancien",
  "VO" : "Ancient Red Dragon",
  "Family" : "DRAGON",
  "Species" : [""],
  "FP" : "24", 
  "Size" : "Gig",
  "AC" : 22,
  "HP" : 546, 
  "Speed" : "vol",
  "Alignments" : ["9_CM"],
  "Legendary" : "Légendaire"}</v>
      </c>
    </row>
    <row r="223" spans="1:16">
      <c r="A223" s="61" t="s">
        <v>4523</v>
      </c>
      <c r="B223" s="298" t="s">
        <v>4524</v>
      </c>
      <c r="C223" s="306">
        <v>10</v>
      </c>
      <c r="D223" s="298" t="s">
        <v>4451</v>
      </c>
      <c r="E223" s="297" t="str">
        <f t="shared" si="9"/>
        <v>Dragon</v>
      </c>
      <c r="F223" s="297" t="str">
        <f>VLOOKUP(E223,'Types de monstres'!$A$2:$B$17,2,FALSE)</f>
        <v>DRAGON</v>
      </c>
      <c r="G223" s="297" t="str">
        <f t="shared" si="10"/>
        <v/>
      </c>
      <c r="H223" s="297" t="str">
        <f>IF(OR(G223="",G223="toute race"),"",VLOOKUP(G223,'Types de monstres'!$F$2:$G$49,2,FALSE))</f>
        <v/>
      </c>
      <c r="I223" s="298" t="s">
        <v>4112</v>
      </c>
      <c r="J223" s="300">
        <v>18</v>
      </c>
      <c r="K223" s="300">
        <v>178</v>
      </c>
      <c r="L223" s="298" t="s">
        <v>4092</v>
      </c>
      <c r="M223" s="298" t="s">
        <v>4137</v>
      </c>
      <c r="N223" s="297" t="str">
        <f>IF(M223="sans alignement","",IF(M223="tout alignement", """1_LB"", ""2_NB"", ""3_CB"", ""4_LN"", ""5_NN"", ""6_CN"", ""7_LM"", ""8_NM"", ""9_CM""",IF(M223="tout alignement non bon", """4_LN"", ""5_NN"", ""6_CN"", ""7_LM"", ""8_NM"", ""9_CM""",IF(M223="tout alignement mauvais", """7_LM"", ""8_NM"", ""9_CM""",IF(M223="tout alignement chaotique", """3_CB"", ""6_CN"", ""9_CM""",IF(M223="tout alignement non loyal", """2_NB"", ""3_CB"", ""5_NN"", ""6_CN"", ""8_NM"", ""9_CM""",""""&amp;VLOOKUP(M223,Alignements!$A$2:$B$10,2, FALSE)&amp;""""))))))</f>
        <v>"9_CM"</v>
      </c>
      <c r="O223" s="298"/>
      <c r="P223" t="str">
        <f t="shared" si="11"/>
        <v>"Dragon rouge, jeune": {
  "Name" : "Dragon rouge, jeune",
  "VO" : "Young Red Dragon",
  "Family" : "DRAGON",
  "Species" : [""],
  "FP" : "10", 
  "Size" : "G",
  "AC" : 18,
  "HP" : 178, 
  "Speed" : "vol",
  "Alignments" : ["9_CM"],
  "Legendary" : ""}</v>
      </c>
    </row>
    <row r="224" spans="1:16" ht="21">
      <c r="A224" s="61" t="s">
        <v>4525</v>
      </c>
      <c r="B224" s="297" t="s">
        <v>4526</v>
      </c>
      <c r="C224" s="305">
        <v>4</v>
      </c>
      <c r="D224" s="297" t="s">
        <v>4451</v>
      </c>
      <c r="E224" s="297" t="str">
        <f t="shared" si="9"/>
        <v>Dragon</v>
      </c>
      <c r="F224" s="297" t="str">
        <f>VLOOKUP(E224,'Types de monstres'!$A$2:$B$17,2,FALSE)</f>
        <v>DRAGON</v>
      </c>
      <c r="G224" s="297" t="str">
        <f t="shared" si="10"/>
        <v/>
      </c>
      <c r="H224" s="297" t="str">
        <f>IF(OR(G224="",G224="toute race"),"",VLOOKUP(G224,'Types de monstres'!$F$2:$G$49,2,FALSE))</f>
        <v/>
      </c>
      <c r="I224" s="297" t="s">
        <v>4091</v>
      </c>
      <c r="J224" s="302">
        <v>17</v>
      </c>
      <c r="K224" s="302">
        <v>75</v>
      </c>
      <c r="L224" s="297" t="s">
        <v>4092</v>
      </c>
      <c r="M224" s="297" t="s">
        <v>4137</v>
      </c>
      <c r="N224" s="297" t="str">
        <f>IF(M224="sans alignement","",IF(M224="tout alignement", """1_LB"", ""2_NB"", ""3_CB"", ""4_LN"", ""5_NN"", ""6_CN"", ""7_LM"", ""8_NM"", ""9_CM""",IF(M224="tout alignement non bon", """4_LN"", ""5_NN"", ""6_CN"", ""7_LM"", ""8_NM"", ""9_CM""",IF(M224="tout alignement mauvais", """7_LM"", ""8_NM"", ""9_CM""",IF(M224="tout alignement chaotique", """3_CB"", ""6_CN"", ""9_CM""",IF(M224="tout alignement non loyal", """2_NB"", ""3_CB"", ""5_NN"", ""6_CN"", ""8_NM"", ""9_CM""",""""&amp;VLOOKUP(M224,Alignements!$A$2:$B$10,2, FALSE)&amp;""""))))))</f>
        <v>"9_CM"</v>
      </c>
      <c r="O224" s="297"/>
      <c r="P224" t="str">
        <f t="shared" si="11"/>
        <v>"Dragon rouge, nouveau-né": {
  "Name" : "Dragon rouge, nouveau-né",
  "VO" : "Red Dragon Wyrmling",
  "Family" : "DRAGON",
  "Species" : [""],
  "FP" : "4", 
  "Size" : "M",
  "AC" : 17,
  "HP" : 75, 
  "Speed" : "vol",
  "Alignments" : ["9_CM"],
  "Legendary" : ""}</v>
      </c>
    </row>
    <row r="225" spans="1:16" ht="21">
      <c r="A225" s="61" t="s">
        <v>4527</v>
      </c>
      <c r="B225" s="298" t="s">
        <v>4528</v>
      </c>
      <c r="C225" s="306">
        <v>15</v>
      </c>
      <c r="D225" s="298" t="s">
        <v>4451</v>
      </c>
      <c r="E225" s="297" t="str">
        <f t="shared" si="9"/>
        <v>Dragon</v>
      </c>
      <c r="F225" s="297" t="str">
        <f>VLOOKUP(E225,'Types de monstres'!$A$2:$B$17,2,FALSE)</f>
        <v>DRAGON</v>
      </c>
      <c r="G225" s="297" t="str">
        <f t="shared" si="10"/>
        <v/>
      </c>
      <c r="H225" s="297" t="str">
        <f>IF(OR(G225="",G225="toute race"),"",VLOOKUP(G225,'Types de monstres'!$F$2:$G$49,2,FALSE))</f>
        <v/>
      </c>
      <c r="I225" s="298" t="s">
        <v>4149</v>
      </c>
      <c r="J225" s="300">
        <v>19</v>
      </c>
      <c r="K225" s="300">
        <v>207</v>
      </c>
      <c r="L225" s="298" t="s">
        <v>4452</v>
      </c>
      <c r="M225" s="298" t="s">
        <v>4097</v>
      </c>
      <c r="N225" s="297" t="str">
        <f>IF(M225="sans alignement","",IF(M225="tout alignement", """1_LB"", ""2_NB"", ""3_CB"", ""4_LN"", ""5_NN"", ""6_CN"", ""7_LM"", ""8_NM"", ""9_CM""",IF(M225="tout alignement non bon", """4_LN"", ""5_NN"", ""6_CN"", ""7_LM"", ""8_NM"", ""9_CM""",IF(M225="tout alignement mauvais", """7_LM"", ""8_NM"", ""9_CM""",IF(M225="tout alignement chaotique", """3_CB"", ""6_CN"", ""9_CM""",IF(M225="tout alignement non loyal", """2_NB"", ""3_CB"", ""5_NN"", ""6_CN"", ""8_NM"", ""9_CM""",""""&amp;VLOOKUP(M225,Alignements!$A$2:$B$10,2, FALSE)&amp;""""))))))</f>
        <v>"7_LM"</v>
      </c>
      <c r="O225" s="298" t="s">
        <v>4114</v>
      </c>
      <c r="P225" t="str">
        <f t="shared" si="11"/>
        <v>"Dragon vert, adulte": {
  "Name" : "Dragon vert, adulte",
  "VO" : "Adult Green Dragon",
  "Family" : "DRAGON",
  "Species" : [""],
  "FP" : "15", 
  "Size" : "TG",
  "AC" : 19,
  "HP" : 207, 
  "Speed" : "vol, nage",
  "Alignments" : ["7_LM"],
  "Legendary" : "Légendaire"}</v>
      </c>
    </row>
    <row r="226" spans="1:16" ht="21">
      <c r="A226" s="61" t="s">
        <v>4529</v>
      </c>
      <c r="B226" s="297" t="s">
        <v>4530</v>
      </c>
      <c r="C226" s="305">
        <v>22</v>
      </c>
      <c r="D226" s="297" t="s">
        <v>4451</v>
      </c>
      <c r="E226" s="297" t="str">
        <f t="shared" si="9"/>
        <v>Dragon</v>
      </c>
      <c r="F226" s="297" t="str">
        <f>VLOOKUP(E226,'Types de monstres'!$A$2:$B$17,2,FALSE)</f>
        <v>DRAGON</v>
      </c>
      <c r="G226" s="297" t="str">
        <f t="shared" si="10"/>
        <v/>
      </c>
      <c r="H226" s="297" t="str">
        <f>IF(OR(G226="",G226="toute race"),"",VLOOKUP(G226,'Types de monstres'!$F$2:$G$49,2,FALSE))</f>
        <v/>
      </c>
      <c r="I226" s="297" t="s">
        <v>4371</v>
      </c>
      <c r="J226" s="302">
        <v>21</v>
      </c>
      <c r="K226" s="302">
        <v>385</v>
      </c>
      <c r="L226" s="297" t="s">
        <v>4452</v>
      </c>
      <c r="M226" s="297" t="s">
        <v>4097</v>
      </c>
      <c r="N226" s="297" t="str">
        <f>IF(M226="sans alignement","",IF(M226="tout alignement", """1_LB"", ""2_NB"", ""3_CB"", ""4_LN"", ""5_NN"", ""6_CN"", ""7_LM"", ""8_NM"", ""9_CM""",IF(M226="tout alignement non bon", """4_LN"", ""5_NN"", ""6_CN"", ""7_LM"", ""8_NM"", ""9_CM""",IF(M226="tout alignement mauvais", """7_LM"", ""8_NM"", ""9_CM""",IF(M226="tout alignement chaotique", """3_CB"", ""6_CN"", ""9_CM""",IF(M226="tout alignement non loyal", """2_NB"", ""3_CB"", ""5_NN"", ""6_CN"", ""8_NM"", ""9_CM""",""""&amp;VLOOKUP(M226,Alignements!$A$2:$B$10,2, FALSE)&amp;""""))))))</f>
        <v>"7_LM"</v>
      </c>
      <c r="O226" s="297" t="s">
        <v>4114</v>
      </c>
      <c r="P226" t="str">
        <f t="shared" si="11"/>
        <v>"Dragon vert, ancien": {
  "Name" : "Dragon vert, ancien",
  "VO" : "Ancient Green Dragon",
  "Family" : "DRAGON",
  "Species" : [""],
  "FP" : "22", 
  "Size" : "Gig",
  "AC" : 21,
  "HP" : 385, 
  "Speed" : "vol, nage",
  "Alignments" : ["7_LM"],
  "Legendary" : "Légendaire"}</v>
      </c>
    </row>
    <row r="227" spans="1:16" ht="21">
      <c r="A227" s="61" t="s">
        <v>4531</v>
      </c>
      <c r="B227" s="298" t="s">
        <v>4532</v>
      </c>
      <c r="C227" s="306">
        <v>8</v>
      </c>
      <c r="D227" s="298" t="s">
        <v>4451</v>
      </c>
      <c r="E227" s="297" t="str">
        <f t="shared" si="9"/>
        <v>Dragon</v>
      </c>
      <c r="F227" s="297" t="str">
        <f>VLOOKUP(E227,'Types de monstres'!$A$2:$B$17,2,FALSE)</f>
        <v>DRAGON</v>
      </c>
      <c r="G227" s="297" t="str">
        <f t="shared" si="10"/>
        <v/>
      </c>
      <c r="H227" s="297" t="str">
        <f>IF(OR(G227="",G227="toute race"),"",VLOOKUP(G227,'Types de monstres'!$F$2:$G$49,2,FALSE))</f>
        <v/>
      </c>
      <c r="I227" s="298" t="s">
        <v>4112</v>
      </c>
      <c r="J227" s="300">
        <v>18</v>
      </c>
      <c r="K227" s="300">
        <v>136</v>
      </c>
      <c r="L227" s="298" t="s">
        <v>4452</v>
      </c>
      <c r="M227" s="298" t="s">
        <v>4097</v>
      </c>
      <c r="N227" s="297" t="str">
        <f>IF(M227="sans alignement","",IF(M227="tout alignement", """1_LB"", ""2_NB"", ""3_CB"", ""4_LN"", ""5_NN"", ""6_CN"", ""7_LM"", ""8_NM"", ""9_CM""",IF(M227="tout alignement non bon", """4_LN"", ""5_NN"", ""6_CN"", ""7_LM"", ""8_NM"", ""9_CM""",IF(M227="tout alignement mauvais", """7_LM"", ""8_NM"", ""9_CM""",IF(M227="tout alignement chaotique", """3_CB"", ""6_CN"", ""9_CM""",IF(M227="tout alignement non loyal", """2_NB"", ""3_CB"", ""5_NN"", ""6_CN"", ""8_NM"", ""9_CM""",""""&amp;VLOOKUP(M227,Alignements!$A$2:$B$10,2, FALSE)&amp;""""))))))</f>
        <v>"7_LM"</v>
      </c>
      <c r="O227" s="298"/>
      <c r="P227" t="str">
        <f t="shared" si="11"/>
        <v>"Dragon vert, jeune": {
  "Name" : "Dragon vert, jeune",
  "VO" : "Young Green Dragon",
  "Family" : "DRAGON",
  "Species" : [""],
  "FP" : "8", 
  "Size" : "G",
  "AC" : 18,
  "HP" : 136, 
  "Speed" : "vol, nage",
  "Alignments" : ["7_LM"],
  "Legendary" : ""}</v>
      </c>
    </row>
    <row r="228" spans="1:16" ht="21">
      <c r="A228" s="61" t="s">
        <v>4533</v>
      </c>
      <c r="B228" s="297" t="s">
        <v>4534</v>
      </c>
      <c r="C228" s="305">
        <v>2</v>
      </c>
      <c r="D228" s="297" t="s">
        <v>4451</v>
      </c>
      <c r="E228" s="297" t="str">
        <f t="shared" si="9"/>
        <v>Dragon</v>
      </c>
      <c r="F228" s="297" t="str">
        <f>VLOOKUP(E228,'Types de monstres'!$A$2:$B$17,2,FALSE)</f>
        <v>DRAGON</v>
      </c>
      <c r="G228" s="297" t="str">
        <f t="shared" si="10"/>
        <v/>
      </c>
      <c r="H228" s="297" t="str">
        <f>IF(OR(G228="",G228="toute race"),"",VLOOKUP(G228,'Types de monstres'!$F$2:$G$49,2,FALSE))</f>
        <v/>
      </c>
      <c r="I228" s="297" t="s">
        <v>4091</v>
      </c>
      <c r="J228" s="302">
        <v>17</v>
      </c>
      <c r="K228" s="302">
        <v>38</v>
      </c>
      <c r="L228" s="297" t="s">
        <v>4452</v>
      </c>
      <c r="M228" s="297" t="s">
        <v>4097</v>
      </c>
      <c r="N228" s="297" t="str">
        <f>IF(M228="sans alignement","",IF(M228="tout alignement", """1_LB"", ""2_NB"", ""3_CB"", ""4_LN"", ""5_NN"", ""6_CN"", ""7_LM"", ""8_NM"", ""9_CM""",IF(M228="tout alignement non bon", """4_LN"", ""5_NN"", ""6_CN"", ""7_LM"", ""8_NM"", ""9_CM""",IF(M228="tout alignement mauvais", """7_LM"", ""8_NM"", ""9_CM""",IF(M228="tout alignement chaotique", """3_CB"", ""6_CN"", ""9_CM""",IF(M228="tout alignement non loyal", """2_NB"", ""3_CB"", ""5_NN"", ""6_CN"", ""8_NM"", ""9_CM""",""""&amp;VLOOKUP(M228,Alignements!$A$2:$B$10,2, FALSE)&amp;""""))))))</f>
        <v>"7_LM"</v>
      </c>
      <c r="O228" s="297"/>
      <c r="P228" t="str">
        <f t="shared" si="11"/>
        <v>"Dragon vert, nouveau-né": {
  "Name" : "Dragon vert, nouveau-né",
  "VO" : "Green Dragon Wyrmling",
  "Family" : "DRAGON",
  "Species" : [""],
  "FP" : "2", 
  "Size" : "M",
  "AC" : 17,
  "HP" : 38, 
  "Speed" : "vol, nage",
  "Alignments" : ["7_LM"],
  "Legendary" : ""}</v>
      </c>
    </row>
    <row r="229" spans="1:16">
      <c r="A229" s="61" t="s">
        <v>4535</v>
      </c>
      <c r="B229" s="298" t="s">
        <v>4536</v>
      </c>
      <c r="C229" s="306">
        <v>17</v>
      </c>
      <c r="D229" s="298" t="s">
        <v>4451</v>
      </c>
      <c r="E229" s="297" t="str">
        <f t="shared" si="9"/>
        <v>Dragon</v>
      </c>
      <c r="F229" s="297" t="str">
        <f>VLOOKUP(E229,'Types de monstres'!$A$2:$B$17,2,FALSE)</f>
        <v>DRAGON</v>
      </c>
      <c r="G229" s="297" t="str">
        <f t="shared" si="10"/>
        <v/>
      </c>
      <c r="H229" s="297" t="str">
        <f>IF(OR(G229="",G229="toute race"),"",VLOOKUP(G229,'Types de monstres'!$F$2:$G$49,2,FALSE))</f>
        <v/>
      </c>
      <c r="I229" s="298" t="s">
        <v>4371</v>
      </c>
      <c r="J229" s="300">
        <v>20</v>
      </c>
      <c r="K229" s="300">
        <v>341</v>
      </c>
      <c r="L229" s="298" t="s">
        <v>4113</v>
      </c>
      <c r="M229" s="298" t="s">
        <v>4193</v>
      </c>
      <c r="N229" s="297" t="str">
        <f>IF(M229="sans alignement","",IF(M229="tout alignement", """1_LB"", ""2_NB"", ""3_CB"", ""4_LN"", ""5_NN"", ""6_CN"", ""7_LM"", ""8_NM"", ""9_CM""",IF(M229="tout alignement non bon", """4_LN"", ""5_NN"", ""6_CN"", ""7_LM"", ""8_NM"", ""9_CM""",IF(M229="tout alignement mauvais", """7_LM"", ""8_NM"", ""9_CM""",IF(M229="tout alignement chaotique", """3_CB"", ""6_CN"", ""9_CM""",IF(M229="tout alignement non loyal", """2_NB"", ""3_CB"", ""5_NN"", ""6_CN"", ""8_NM"", ""9_CM""",""""&amp;VLOOKUP(M229,Alignements!$A$2:$B$10,2, FALSE)&amp;""""))))))</f>
        <v>"5_NN"</v>
      </c>
      <c r="O229" s="298"/>
      <c r="P229" t="str">
        <f t="shared" si="11"/>
        <v>"Dragon-tortue": {
  "Name" : "Dragon-tortue",
  "VO" : "Dragon Turtle",
  "Family" : "DRAGON",
  "Species" : [""],
  "FP" : "17", 
  "Size" : "Gig",
  "AC" : 20,
  "HP" : 341, 
  "Speed" : "nage",
  "Alignments" : ["5_NN"],
  "Legendary" : ""}</v>
      </c>
    </row>
    <row r="230" spans="1:16">
      <c r="A230" s="301" t="s">
        <v>4537</v>
      </c>
      <c r="B230" s="297" t="s">
        <v>4538</v>
      </c>
      <c r="C230" s="305">
        <v>2</v>
      </c>
      <c r="D230" s="297" t="s">
        <v>4451</v>
      </c>
      <c r="E230" s="297" t="str">
        <f t="shared" si="9"/>
        <v>Dragon</v>
      </c>
      <c r="F230" s="297" t="str">
        <f>VLOOKUP(E230,'Types de monstres'!$A$2:$B$17,2,FALSE)</f>
        <v>DRAGON</v>
      </c>
      <c r="G230" s="297" t="str">
        <f t="shared" si="10"/>
        <v/>
      </c>
      <c r="H230" s="297" t="str">
        <f>IF(OR(G230="",G230="toute race"),"",VLOOKUP(G230,'Types de monstres'!$F$2:$G$49,2,FALSE))</f>
        <v/>
      </c>
      <c r="I230" s="297" t="s">
        <v>4091</v>
      </c>
      <c r="J230" s="302">
        <v>14</v>
      </c>
      <c r="K230" s="302">
        <v>52</v>
      </c>
      <c r="L230" s="297"/>
      <c r="M230" s="297" t="s">
        <v>4130</v>
      </c>
      <c r="N230" s="297" t="str">
        <f>IF(M230="sans alignement","",IF(M230="tout alignement", """1_LB"", ""2_NB"", ""3_CB"", ""4_LN"", ""5_NN"", ""6_CN"", ""7_LM"", ""8_NM"", ""9_CM""",IF(M230="tout alignement non bon", """4_LN"", ""5_NN"", ""6_CN"", ""7_LM"", ""8_NM"", ""9_CM""",IF(M230="tout alignement mauvais", """7_LM"", ""8_NM"", ""9_CM""",IF(M230="tout alignement chaotique", """3_CB"", ""6_CN"", ""9_CM""",IF(M230="tout alignement non loyal", """2_NB"", ""3_CB"", ""5_NN"", ""6_CN"", ""8_NM"", ""9_CM""",""""&amp;VLOOKUP(M230,Alignements!$A$2:$B$10,2, FALSE)&amp;""""))))))</f>
        <v/>
      </c>
      <c r="O230" s="297"/>
      <c r="P230" t="str">
        <f t="shared" si="11"/>
        <v>"Drake gardien": {
  "Name" : "Drake gardien",
  "VO" : "Guard Drake",
  "Family" : "DRAGON",
  "Species" : [""],
  "FP" : "2", 
  "Size" : "M",
  "AC" : 14,
  "HP" : 52, 
  "Speed" : "",
  "Alignments" : [],
  "Legendary" : ""}</v>
      </c>
    </row>
    <row r="231" spans="1:16">
      <c r="A231" s="61" t="s">
        <v>4539</v>
      </c>
      <c r="B231" s="298" t="s">
        <v>4539</v>
      </c>
      <c r="C231" s="306" t="s">
        <v>5618</v>
      </c>
      <c r="D231" s="298" t="s">
        <v>4136</v>
      </c>
      <c r="E231" s="297" t="str">
        <f t="shared" si="9"/>
        <v>Fiélon</v>
      </c>
      <c r="F231" s="297" t="str">
        <f>VLOOKUP(E231,'Types de monstres'!$A$2:$B$17,2,FALSE)</f>
        <v>FIEND</v>
      </c>
      <c r="G231" s="297" t="str">
        <f t="shared" si="10"/>
        <v>démon</v>
      </c>
      <c r="H231" s="297" t="str">
        <f>IF(OR(G231="",G231="toute race"),"",VLOOKUP(G231,'Types de monstres'!$F$2:$G$49,2,FALSE))</f>
        <v>DAEMON</v>
      </c>
      <c r="I231" s="298" t="s">
        <v>4129</v>
      </c>
      <c r="J231" s="300">
        <v>11</v>
      </c>
      <c r="K231" s="300">
        <v>18</v>
      </c>
      <c r="L231" s="298"/>
      <c r="M231" s="298" t="s">
        <v>4137</v>
      </c>
      <c r="N231" s="297" t="str">
        <f>IF(M231="sans alignement","",IF(M231="tout alignement", """1_LB"", ""2_NB"", ""3_CB"", ""4_LN"", ""5_NN"", ""6_CN"", ""7_LM"", ""8_NM"", ""9_CM""",IF(M231="tout alignement non bon", """4_LN"", ""5_NN"", ""6_CN"", ""7_LM"", ""8_NM"", ""9_CM""",IF(M231="tout alignement mauvais", """7_LM"", ""8_NM"", ""9_CM""",IF(M231="tout alignement chaotique", """3_CB"", ""6_CN"", ""9_CM""",IF(M231="tout alignement non loyal", """2_NB"", ""3_CB"", ""5_NN"", ""6_CN"", ""8_NM"", ""9_CM""",""""&amp;VLOOKUP(M231,Alignements!$A$2:$B$10,2, FALSE)&amp;""""))))))</f>
        <v>"9_CM"</v>
      </c>
      <c r="O231" s="298"/>
      <c r="P231" t="str">
        <f t="shared" si="11"/>
        <v>"Dretch": {
  "Name" : "Dretch",
  "VO" : "Dretch",
  "Family" : "FIEND",
  "Species" : ["DAEMON"],
  "FP" : "1/4", 
  "Size" : "P",
  "AC" : 11,
  "HP" : 18, 
  "Speed" : "",
  "Alignments" : ["9_CM"],
  "Legendary" : ""}</v>
      </c>
    </row>
    <row r="232" spans="1:16">
      <c r="A232" s="61" t="s">
        <v>4540</v>
      </c>
      <c r="B232" s="297" t="s">
        <v>4540</v>
      </c>
      <c r="C232" s="305">
        <v>6</v>
      </c>
      <c r="D232" s="297" t="s">
        <v>4121</v>
      </c>
      <c r="E232" s="297" t="str">
        <f t="shared" si="9"/>
        <v>Créature monstrueuse</v>
      </c>
      <c r="F232" s="297" t="str">
        <f>VLOOKUP(E232,'Types de monstres'!$A$2:$B$17,2,FALSE)</f>
        <v>MONSTROUS_CREATURE</v>
      </c>
      <c r="G232" s="297" t="str">
        <f t="shared" si="10"/>
        <v/>
      </c>
      <c r="H232" s="297" t="str">
        <f>IF(OR(G232="",G232="toute race"),"",VLOOKUP(G232,'Types de monstres'!$F$2:$G$49,2,FALSE))</f>
        <v/>
      </c>
      <c r="I232" s="297" t="s">
        <v>4112</v>
      </c>
      <c r="J232" s="302">
        <v>19</v>
      </c>
      <c r="K232" s="302">
        <v>123</v>
      </c>
      <c r="L232" s="297"/>
      <c r="M232" s="297" t="s">
        <v>4137</v>
      </c>
      <c r="N232" s="297" t="str">
        <f>IF(M232="sans alignement","",IF(M232="tout alignement", """1_LB"", ""2_NB"", ""3_CB"", ""4_LN"", ""5_NN"", ""6_CN"", ""7_LM"", ""8_NM"", ""9_CM""",IF(M232="tout alignement non bon", """4_LN"", ""5_NN"", ""6_CN"", ""7_LM"", ""8_NM"", ""9_CM""",IF(M232="tout alignement mauvais", """7_LM"", ""8_NM"", ""9_CM""",IF(M232="tout alignement chaotique", """3_CB"", ""6_CN"", ""9_CM""",IF(M232="tout alignement non loyal", """2_NB"", ""3_CB"", ""5_NN"", ""6_CN"", ""8_NM"", ""9_CM""",""""&amp;VLOOKUP(M232,Alignements!$A$2:$B$10,2, FALSE)&amp;""""))))))</f>
        <v>"9_CM"</v>
      </c>
      <c r="O232" s="297"/>
      <c r="P232" t="str">
        <f t="shared" si="11"/>
        <v>"Drider": {
  "Name" : "Drider",
  "VO" : "Drider",
  "Family" : "MONSTROUS_CREATURE",
  "Species" : [""],
  "FP" : "6", 
  "Size" : "G",
  "AC" : 19,
  "HP" : 123, 
  "Speed" : "",
  "Alignments" : ["9_CM"],
  "Legendary" : ""}</v>
      </c>
    </row>
    <row r="233" spans="1:16">
      <c r="A233" s="61" t="s">
        <v>309</v>
      </c>
      <c r="B233" s="298" t="s">
        <v>309</v>
      </c>
      <c r="C233" s="306" t="s">
        <v>5618</v>
      </c>
      <c r="D233" s="298" t="s">
        <v>4541</v>
      </c>
      <c r="E233" s="297" t="str">
        <f t="shared" si="9"/>
        <v>Humanoïde</v>
      </c>
      <c r="F233" s="297" t="str">
        <f>VLOOKUP(E233,'Types de monstres'!$A$2:$B$17,2,FALSE)</f>
        <v>HUMANOID</v>
      </c>
      <c r="G233" s="297" t="str">
        <f t="shared" si="10"/>
        <v>elfe</v>
      </c>
      <c r="H233" s="297" t="str">
        <f>IF(OR(G233="",G233="toute race"),"",VLOOKUP(G233,'Types de monstres'!$F$2:$G$49,2,FALSE))</f>
        <v>ELF</v>
      </c>
      <c r="I233" s="298" t="s">
        <v>4091</v>
      </c>
      <c r="J233" s="300">
        <v>15</v>
      </c>
      <c r="K233" s="300">
        <v>13</v>
      </c>
      <c r="L233" s="298"/>
      <c r="M233" s="298" t="s">
        <v>4118</v>
      </c>
      <c r="N233" s="297" t="str">
        <f>IF(M233="sans alignement","",IF(M233="tout alignement", """1_LB"", ""2_NB"", ""3_CB"", ""4_LN"", ""5_NN"", ""6_CN"", ""7_LM"", ""8_NM"", ""9_CM""",IF(M233="tout alignement non bon", """4_LN"", ""5_NN"", ""6_CN"", ""7_LM"", ""8_NM"", ""9_CM""",IF(M233="tout alignement mauvais", """7_LM"", ""8_NM"", ""9_CM""",IF(M233="tout alignement chaotique", """3_CB"", ""6_CN"", ""9_CM""",IF(M233="tout alignement non loyal", """2_NB"", ""3_CB"", ""5_NN"", ""6_CN"", ""8_NM"", ""9_CM""",""""&amp;VLOOKUP(M233,Alignements!$A$2:$B$10,2, FALSE)&amp;""""))))))</f>
        <v>"8_NM"</v>
      </c>
      <c r="O233" s="298"/>
      <c r="P233" t="str">
        <f t="shared" si="11"/>
        <v>"Drow": {
  "Name" : "Drow",
  "VO" : "Drow",
  "Family" : "HUMANOID",
  "Species" : ["ELF"],
  "FP" : "1/4", 
  "Size" : "M",
  "AC" : 15,
  "HP" : 13, 
  "Speed" : "",
  "Alignments" : ["8_NM"],
  "Legendary" : ""}</v>
      </c>
    </row>
    <row r="234" spans="1:16" ht="21">
      <c r="A234" s="301" t="s">
        <v>4542</v>
      </c>
      <c r="B234" s="297" t="s">
        <v>4543</v>
      </c>
      <c r="C234" s="305">
        <v>13</v>
      </c>
      <c r="D234" s="297" t="s">
        <v>4541</v>
      </c>
      <c r="E234" s="297" t="str">
        <f t="shared" si="9"/>
        <v>Humanoïde</v>
      </c>
      <c r="F234" s="297" t="str">
        <f>VLOOKUP(E234,'Types de monstres'!$A$2:$B$17,2,FALSE)</f>
        <v>HUMANOID</v>
      </c>
      <c r="G234" s="297" t="str">
        <f t="shared" si="10"/>
        <v>elfe</v>
      </c>
      <c r="H234" s="297" t="str">
        <f>IF(OR(G234="",G234="toute race"),"",VLOOKUP(G234,'Types de monstres'!$F$2:$G$49,2,FALSE))</f>
        <v>ELF</v>
      </c>
      <c r="I234" s="297" t="s">
        <v>4091</v>
      </c>
      <c r="J234" s="302">
        <v>15</v>
      </c>
      <c r="K234" s="302">
        <v>162</v>
      </c>
      <c r="L234" s="297"/>
      <c r="M234" s="297" t="s">
        <v>4118</v>
      </c>
      <c r="N234" s="297" t="str">
        <f>IF(M234="sans alignement","",IF(M234="tout alignement", """1_LB"", ""2_NB"", ""3_CB"", ""4_LN"", ""5_NN"", ""6_CN"", ""7_LM"", ""8_NM"", ""9_CM""",IF(M234="tout alignement non bon", """4_LN"", ""5_NN"", ""6_CN"", ""7_LM"", ""8_NM"", ""9_CM""",IF(M234="tout alignement mauvais", """7_LM"", ""8_NM"", ""9_CM""",IF(M234="tout alignement chaotique", """3_CB"", ""6_CN"", ""9_CM""",IF(M234="tout alignement non loyal", """2_NB"", ""3_CB"", ""5_NN"", ""6_CN"", ""8_NM"", ""9_CM""",""""&amp;VLOOKUP(M234,Alignements!$A$2:$B$10,2, FALSE)&amp;""""))))))</f>
        <v>"8_NM"</v>
      </c>
      <c r="O234" s="297"/>
      <c r="P234" t="str">
        <f t="shared" si="11"/>
        <v>"Drow, arachnomancien": {
  "Name" : "Drow, arachnomancien",
  "VO" : "Drow Arachnomancer",
  "Family" : "HUMANOID",
  "Species" : ["ELF"],
  "FP" : "13", 
  "Size" : "M",
  "AC" : 15,
  "HP" : 162, 
  "Speed" : "",
  "Alignments" : ["8_NM"],
  "Legendary" : ""}</v>
      </c>
    </row>
    <row r="235" spans="1:16" ht="21">
      <c r="A235" s="61" t="s">
        <v>4544</v>
      </c>
      <c r="B235" s="298" t="s">
        <v>4545</v>
      </c>
      <c r="C235" s="306">
        <v>9</v>
      </c>
      <c r="D235" s="298" t="s">
        <v>4541</v>
      </c>
      <c r="E235" s="297" t="str">
        <f t="shared" si="9"/>
        <v>Humanoïde</v>
      </c>
      <c r="F235" s="297" t="str">
        <f>VLOOKUP(E235,'Types de monstres'!$A$2:$B$17,2,FALSE)</f>
        <v>HUMANOID</v>
      </c>
      <c r="G235" s="297" t="str">
        <f t="shared" si="10"/>
        <v>elfe</v>
      </c>
      <c r="H235" s="297" t="str">
        <f>IF(OR(G235="",G235="toute race"),"",VLOOKUP(G235,'Types de monstres'!$F$2:$G$49,2,FALSE))</f>
        <v>ELF</v>
      </c>
      <c r="I235" s="298" t="s">
        <v>4091</v>
      </c>
      <c r="J235" s="300">
        <v>16</v>
      </c>
      <c r="K235" s="300">
        <v>162</v>
      </c>
      <c r="L235" s="298"/>
      <c r="M235" s="298" t="s">
        <v>4118</v>
      </c>
      <c r="N235" s="297" t="str">
        <f>IF(M235="sans alignement","",IF(M235="tout alignement", """1_LB"", ""2_NB"", ""3_CB"", ""4_LN"", ""5_NN"", ""6_CN"", ""7_LM"", ""8_NM"", ""9_CM""",IF(M235="tout alignement non bon", """4_LN"", ""5_NN"", ""6_CN"", ""7_LM"", ""8_NM"", ""9_CM""",IF(M235="tout alignement mauvais", """7_LM"", ""8_NM"", ""9_CM""",IF(M235="tout alignement chaotique", """3_CB"", ""6_CN"", ""9_CM""",IF(M235="tout alignement non loyal", """2_NB"", ""3_CB"", ""5_NN"", ""6_CN"", ""8_NM"", ""9_CM""",""""&amp;VLOOKUP(M235,Alignements!$A$2:$B$10,2, FALSE)&amp;""""))))))</f>
        <v>"8_NM"</v>
      </c>
      <c r="O235" s="298"/>
      <c r="P235" t="str">
        <f t="shared" si="11"/>
        <v>"Drow, capitaine de maison": {
  "Name" : "Drow, capitaine de maison",
  "VO" : "Drow House Captain",
  "Family" : "HUMANOID",
  "Species" : ["ELF"],
  "FP" : "9", 
  "Size" : "M",
  "AC" : 16,
  "HP" : 162, 
  "Speed" : "",
  "Alignments" : ["8_NM"],
  "Legendary" : ""}</v>
      </c>
    </row>
    <row r="236" spans="1:16" ht="21">
      <c r="A236" s="301" t="s">
        <v>4546</v>
      </c>
      <c r="B236" s="297" t="s">
        <v>4547</v>
      </c>
      <c r="C236" s="305">
        <v>18</v>
      </c>
      <c r="D236" s="297" t="s">
        <v>4541</v>
      </c>
      <c r="E236" s="297" t="str">
        <f t="shared" si="9"/>
        <v>Humanoïde</v>
      </c>
      <c r="F236" s="297" t="str">
        <f>VLOOKUP(E236,'Types de monstres'!$A$2:$B$17,2,FALSE)</f>
        <v>HUMANOID</v>
      </c>
      <c r="G236" s="297" t="str">
        <f t="shared" si="10"/>
        <v>elfe</v>
      </c>
      <c r="H236" s="297" t="str">
        <f>IF(OR(G236="",G236="toute race"),"",VLOOKUP(G236,'Types de monstres'!$F$2:$G$49,2,FALSE))</f>
        <v>ELF</v>
      </c>
      <c r="I236" s="297" t="s">
        <v>4091</v>
      </c>
      <c r="J236" s="302">
        <v>15</v>
      </c>
      <c r="K236" s="302">
        <v>225</v>
      </c>
      <c r="L236" s="297"/>
      <c r="M236" s="297" t="s">
        <v>4118</v>
      </c>
      <c r="N236" s="297" t="str">
        <f>IF(M236="sans alignement","",IF(M236="tout alignement", """1_LB"", ""2_NB"", ""3_CB"", ""4_LN"", ""5_NN"", ""6_CN"", ""7_LM"", ""8_NM"", ""9_CM""",IF(M236="tout alignement non bon", """4_LN"", ""5_NN"", ""6_CN"", ""7_LM"", ""8_NM"", ""9_CM""",IF(M236="tout alignement mauvais", """7_LM"", ""8_NM"", ""9_CM""",IF(M236="tout alignement chaotique", """3_CB"", ""6_CN"", ""9_CM""",IF(M236="tout alignement non loyal", """2_NB"", ""3_CB"", ""5_NN"", ""6_CN"", ""8_NM"", ""9_CM""",""""&amp;VLOOKUP(M236,Alignements!$A$2:$B$10,2, FALSE)&amp;""""))))))</f>
        <v>"8_NM"</v>
      </c>
      <c r="O236" s="297"/>
      <c r="P236" t="str">
        <f t="shared" si="11"/>
        <v>"Drow, consort favori": {
  "Name" : "Drow, consort favori",
  "VO" : "Drow Favored Consort",
  "Family" : "HUMANOID",
  "Species" : ["ELF"],
  "FP" : "18", 
  "Size" : "M",
  "AC" : 15,
  "HP" : 225, 
  "Speed" : "",
  "Alignments" : ["8_NM"],
  "Legendary" : ""}</v>
      </c>
    </row>
    <row r="237" spans="1:16">
      <c r="A237" s="61" t="s">
        <v>4548</v>
      </c>
      <c r="B237" s="298" t="s">
        <v>4549</v>
      </c>
      <c r="C237" s="306">
        <v>5</v>
      </c>
      <c r="D237" s="298" t="s">
        <v>4541</v>
      </c>
      <c r="E237" s="297" t="str">
        <f t="shared" si="9"/>
        <v>Humanoïde</v>
      </c>
      <c r="F237" s="297" t="str">
        <f>VLOOKUP(E237,'Types de monstres'!$A$2:$B$17,2,FALSE)</f>
        <v>HUMANOID</v>
      </c>
      <c r="G237" s="297" t="str">
        <f t="shared" si="10"/>
        <v>elfe</v>
      </c>
      <c r="H237" s="297" t="str">
        <f>IF(OR(G237="",G237="toute race"),"",VLOOKUP(G237,'Types de monstres'!$F$2:$G$49,2,FALSE))</f>
        <v>ELF</v>
      </c>
      <c r="I237" s="298" t="s">
        <v>4091</v>
      </c>
      <c r="J237" s="300">
        <v>18</v>
      </c>
      <c r="K237" s="300">
        <v>71</v>
      </c>
      <c r="L237" s="298"/>
      <c r="M237" s="298" t="s">
        <v>4118</v>
      </c>
      <c r="N237" s="297" t="str">
        <f>IF(M237="sans alignement","",IF(M237="tout alignement", """1_LB"", ""2_NB"", ""3_CB"", ""4_LN"", ""5_NN"", ""6_CN"", ""7_LM"", ""8_NM"", ""9_CM""",IF(M237="tout alignement non bon", """4_LN"", ""5_NN"", ""6_CN"", ""7_LM"", ""8_NM"", ""9_CM""",IF(M237="tout alignement mauvais", """7_LM"", ""8_NM"", ""9_CM""",IF(M237="tout alignement chaotique", """3_CB"", ""6_CN"", ""9_CM""",IF(M237="tout alignement non loyal", """2_NB"", ""3_CB"", ""5_NN"", ""6_CN"", ""8_NM"", ""9_CM""",""""&amp;VLOOKUP(M237,Alignements!$A$2:$B$10,2, FALSE)&amp;""""))))))</f>
        <v>"8_NM"</v>
      </c>
      <c r="O237" s="298"/>
      <c r="P237" t="str">
        <f t="shared" si="11"/>
        <v>"Drow, guerrier d'élite": {
  "Name" : "Drow, guerrier d'élite",
  "VO" : "Drow Elite Warrior",
  "Family" : "HUMANOID",
  "Species" : ["ELF"],
  "FP" : "5", 
  "Size" : "M",
  "AC" : 18,
  "HP" : 71, 
  "Speed" : "",
  "Alignments" : ["8_NM"],
  "Legendary" : ""}</v>
      </c>
    </row>
    <row r="238" spans="1:16">
      <c r="A238" s="61" t="s">
        <v>4550</v>
      </c>
      <c r="B238" s="297" t="s">
        <v>4551</v>
      </c>
      <c r="C238" s="305">
        <v>14</v>
      </c>
      <c r="D238" s="297" t="s">
        <v>4541</v>
      </c>
      <c r="E238" s="297" t="str">
        <f t="shared" si="9"/>
        <v>Humanoïde</v>
      </c>
      <c r="F238" s="297" t="str">
        <f>VLOOKUP(E238,'Types de monstres'!$A$2:$B$17,2,FALSE)</f>
        <v>HUMANOID</v>
      </c>
      <c r="G238" s="297" t="str">
        <f t="shared" si="10"/>
        <v>elfe</v>
      </c>
      <c r="H238" s="297" t="str">
        <f>IF(OR(G238="",G238="toute race"),"",VLOOKUP(G238,'Types de monstres'!$F$2:$G$49,2,FALSE))</f>
        <v>ELF</v>
      </c>
      <c r="I238" s="297" t="s">
        <v>4091</v>
      </c>
      <c r="J238" s="302">
        <v>16</v>
      </c>
      <c r="K238" s="302">
        <v>143</v>
      </c>
      <c r="L238" s="297"/>
      <c r="M238" s="297" t="s">
        <v>4118</v>
      </c>
      <c r="N238" s="297" t="str">
        <f>IF(M238="sans alignement","",IF(M238="tout alignement", """1_LB"", ""2_NB"", ""3_CB"", ""4_LN"", ""5_NN"", ""6_CN"", ""7_LM"", ""8_NM"", ""9_CM""",IF(M238="tout alignement non bon", """4_LN"", ""5_NN"", ""6_CN"", ""7_LM"", ""8_NM"", ""9_CM""",IF(M238="tout alignement mauvais", """7_LM"", ""8_NM"", ""9_CM""",IF(M238="tout alignement chaotique", """3_CB"", ""6_CN"", ""9_CM""",IF(M238="tout alignement non loyal", """2_NB"", ""3_CB"", ""5_NN"", ""6_CN"", ""8_NM"", ""9_CM""",""""&amp;VLOOKUP(M238,Alignements!$A$2:$B$10,2, FALSE)&amp;""""))))))</f>
        <v>"8_NM"</v>
      </c>
      <c r="O238" s="297"/>
      <c r="P238" t="str">
        <f t="shared" si="11"/>
        <v>"Drow, inquisiteur": {
  "Name" : "Drow, inquisiteur",
  "VO" : "Drow Inquisitor",
  "Family" : "HUMANOID",
  "Species" : ["ELF"],
  "FP" : "14", 
  "Size" : "M",
  "AC" : 16,
  "HP" : 143, 
  "Speed" : "",
  "Alignments" : ["8_NM"],
  "Legendary" : ""}</v>
      </c>
    </row>
    <row r="239" spans="1:16">
      <c r="A239" s="61" t="s">
        <v>4552</v>
      </c>
      <c r="B239" s="298" t="s">
        <v>4553</v>
      </c>
      <c r="C239" s="306">
        <v>7</v>
      </c>
      <c r="D239" s="298" t="s">
        <v>4541</v>
      </c>
      <c r="E239" s="297" t="str">
        <f t="shared" si="9"/>
        <v>Humanoïde</v>
      </c>
      <c r="F239" s="297" t="str">
        <f>VLOOKUP(E239,'Types de monstres'!$A$2:$B$17,2,FALSE)</f>
        <v>HUMANOID</v>
      </c>
      <c r="G239" s="297" t="str">
        <f t="shared" si="10"/>
        <v>elfe</v>
      </c>
      <c r="H239" s="297" t="str">
        <f>IF(OR(G239="",G239="toute race"),"",VLOOKUP(G239,'Types de monstres'!$F$2:$G$49,2,FALSE))</f>
        <v>ELF</v>
      </c>
      <c r="I239" s="298" t="s">
        <v>4091</v>
      </c>
      <c r="J239" s="300">
        <v>12</v>
      </c>
      <c r="K239" s="300">
        <v>45</v>
      </c>
      <c r="L239" s="298"/>
      <c r="M239" s="298" t="s">
        <v>4118</v>
      </c>
      <c r="N239" s="297" t="str">
        <f>IF(M239="sans alignement","",IF(M239="tout alignement", """1_LB"", ""2_NB"", ""3_CB"", ""4_LN"", ""5_NN"", ""6_CN"", ""7_LM"", ""8_NM"", ""9_CM""",IF(M239="tout alignement non bon", """4_LN"", ""5_NN"", ""6_CN"", ""7_LM"", ""8_NM"", ""9_CM""",IF(M239="tout alignement mauvais", """7_LM"", ""8_NM"", ""9_CM""",IF(M239="tout alignement chaotique", """3_CB"", ""6_CN"", ""9_CM""",IF(M239="tout alignement non loyal", """2_NB"", ""3_CB"", ""5_NN"", ""6_CN"", ""8_NM"", ""9_CM""",""""&amp;VLOOKUP(M239,Alignements!$A$2:$B$10,2, FALSE)&amp;""""))))))</f>
        <v>"8_NM"</v>
      </c>
      <c r="O239" s="298"/>
      <c r="P239" t="str">
        <f t="shared" si="11"/>
        <v>"Drow, mage": {
  "Name" : "Drow, mage",
  "VO" : "Drow Mage",
  "Family" : "HUMANOID",
  "Species" : ["ELF"],
  "FP" : "7", 
  "Size" : "M",
  "AC" : 12,
  "HP" : 45, 
  "Speed" : "",
  "Alignments" : ["8_NM"],
  "Legendary" : ""}</v>
      </c>
    </row>
    <row r="240" spans="1:16" ht="21">
      <c r="A240" s="301" t="s">
        <v>4554</v>
      </c>
      <c r="B240" s="297" t="s">
        <v>4555</v>
      </c>
      <c r="C240" s="305">
        <v>20</v>
      </c>
      <c r="D240" s="297" t="s">
        <v>4541</v>
      </c>
      <c r="E240" s="297" t="str">
        <f t="shared" si="9"/>
        <v>Humanoïde</v>
      </c>
      <c r="F240" s="297" t="str">
        <f>VLOOKUP(E240,'Types de monstres'!$A$2:$B$17,2,FALSE)</f>
        <v>HUMANOID</v>
      </c>
      <c r="G240" s="297" t="str">
        <f t="shared" si="10"/>
        <v>elfe</v>
      </c>
      <c r="H240" s="297" t="str">
        <f>IF(OR(G240="",G240="toute race"),"",VLOOKUP(G240,'Types de monstres'!$F$2:$G$49,2,FALSE))</f>
        <v>ELF</v>
      </c>
      <c r="I240" s="297" t="s">
        <v>4091</v>
      </c>
      <c r="J240" s="302">
        <v>17</v>
      </c>
      <c r="K240" s="302">
        <v>262</v>
      </c>
      <c r="L240" s="297"/>
      <c r="M240" s="297" t="s">
        <v>4118</v>
      </c>
      <c r="N240" s="297" t="str">
        <f>IF(M240="sans alignement","",IF(M240="tout alignement", """1_LB"", ""2_NB"", ""3_CB"", ""4_LN"", ""5_NN"", ""6_CN"", ""7_LM"", ""8_NM"", ""9_CM""",IF(M240="tout alignement non bon", """4_LN"", ""5_NN"", ""6_CN"", ""7_LM"", ""8_NM"", ""9_CM""",IF(M240="tout alignement mauvais", """7_LM"", ""8_NM"", ""9_CM""",IF(M240="tout alignement chaotique", """3_CB"", ""6_CN"", ""9_CM""",IF(M240="tout alignement non loyal", """2_NB"", ""3_CB"", ""5_NN"", ""6_CN"", ""8_NM"", ""9_CM""",""""&amp;VLOOKUP(M240,Alignements!$A$2:$B$10,2, FALSE)&amp;""""))))))</f>
        <v>"8_NM"</v>
      </c>
      <c r="O240" s="297"/>
      <c r="P240" t="str">
        <f t="shared" si="11"/>
        <v>"Drow, Mère matrone": {
  "Name" : "Drow, Mère matrone",
  "VO" : "Drow Matron Mother",
  "Family" : "HUMANOID",
  "Species" : ["ELF"],
  "FP" : "20", 
  "Size" : "M",
  "AC" : 17,
  "HP" : 262, 
  "Speed" : "",
  "Alignments" : ["8_NM"],
  "Legendary" : ""}</v>
      </c>
    </row>
    <row r="241" spans="1:16">
      <c r="A241" s="299" t="s">
        <v>4556</v>
      </c>
      <c r="B241" s="298" t="s">
        <v>4557</v>
      </c>
      <c r="C241" s="306">
        <v>11</v>
      </c>
      <c r="D241" s="298" t="s">
        <v>4541</v>
      </c>
      <c r="E241" s="297" t="str">
        <f t="shared" si="9"/>
        <v>Humanoïde</v>
      </c>
      <c r="F241" s="297" t="str">
        <f>VLOOKUP(E241,'Types de monstres'!$A$2:$B$17,2,FALSE)</f>
        <v>HUMANOID</v>
      </c>
      <c r="G241" s="297" t="str">
        <f t="shared" si="10"/>
        <v>elfe</v>
      </c>
      <c r="H241" s="297" t="str">
        <f>IF(OR(G241="",G241="toute race"),"",VLOOKUP(G241,'Types de monstres'!$F$2:$G$49,2,FALSE))</f>
        <v>ELF</v>
      </c>
      <c r="I241" s="298" t="s">
        <v>4091</v>
      </c>
      <c r="J241" s="300">
        <v>17</v>
      </c>
      <c r="K241" s="300">
        <v>150</v>
      </c>
      <c r="L241" s="298"/>
      <c r="M241" s="298" t="s">
        <v>4118</v>
      </c>
      <c r="N241" s="297" t="str">
        <f>IF(M241="sans alignement","",IF(M241="tout alignement", """1_LB"", ""2_NB"", ""3_CB"", ""4_LN"", ""5_NN"", ""6_CN"", ""7_LM"", ""8_NM"", ""9_CM""",IF(M241="tout alignement non bon", """4_LN"", ""5_NN"", ""6_CN"", ""7_LM"", ""8_NM"", ""9_CM""",IF(M241="tout alignement mauvais", """7_LM"", ""8_NM"", ""9_CM""",IF(M241="tout alignement chaotique", """3_CB"", ""6_CN"", ""9_CM""",IF(M241="tout alignement non loyal", """2_NB"", ""3_CB"", ""5_NN"", ""6_CN"", ""8_NM"", ""9_CM""",""""&amp;VLOOKUP(M241,Alignements!$A$2:$B$10,2, FALSE)&amp;""""))))))</f>
        <v>"8_NM"</v>
      </c>
      <c r="O241" s="298"/>
      <c r="P241" t="str">
        <f t="shared" si="11"/>
        <v>"Drow, ombrelame": {
  "Name" : "Drow, ombrelame",
  "VO" : "Drow Shadowblade",
  "Family" : "HUMANOID",
  "Species" : ["ELF"],
  "FP" : "11", 
  "Size" : "M",
  "AC" : 17,
  "HP" : 150, 
  "Speed" : "",
  "Alignments" : ["8_NM"],
  "Legendary" : ""}</v>
      </c>
    </row>
    <row r="242" spans="1:16" ht="21">
      <c r="A242" s="61" t="s">
        <v>4558</v>
      </c>
      <c r="B242" s="297" t="s">
        <v>4559</v>
      </c>
      <c r="C242" s="305">
        <v>8</v>
      </c>
      <c r="D242" s="297" t="s">
        <v>4541</v>
      </c>
      <c r="E242" s="297" t="str">
        <f t="shared" si="9"/>
        <v>Humanoïde</v>
      </c>
      <c r="F242" s="297" t="str">
        <f>VLOOKUP(E242,'Types de monstres'!$A$2:$B$17,2,FALSE)</f>
        <v>HUMANOID</v>
      </c>
      <c r="G242" s="297" t="str">
        <f t="shared" si="10"/>
        <v>elfe</v>
      </c>
      <c r="H242" s="297" t="str">
        <f>IF(OR(G242="",G242="toute race"),"",VLOOKUP(G242,'Types de monstres'!$F$2:$G$49,2,FALSE))</f>
        <v>ELF</v>
      </c>
      <c r="I242" s="297" t="s">
        <v>4091</v>
      </c>
      <c r="J242" s="302">
        <v>16</v>
      </c>
      <c r="K242" s="302">
        <v>71</v>
      </c>
      <c r="L242" s="297"/>
      <c r="M242" s="297" t="s">
        <v>4118</v>
      </c>
      <c r="N242" s="297" t="str">
        <f>IF(M242="sans alignement","",IF(M242="tout alignement", """1_LB"", ""2_NB"", ""3_CB"", ""4_LN"", ""5_NN"", ""6_CN"", ""7_LM"", ""8_NM"", ""9_CM""",IF(M242="tout alignement non bon", """4_LN"", ""5_NN"", ""6_CN"", ""7_LM"", ""8_NM"", ""9_CM""",IF(M242="tout alignement mauvais", """7_LM"", ""8_NM"", ""9_CM""",IF(M242="tout alignement chaotique", """3_CB"", ""6_CN"", ""9_CM""",IF(M242="tout alignement non loyal", """2_NB"", ""3_CB"", ""5_NN"", ""6_CN"", ""8_NM"", ""9_CM""",""""&amp;VLOOKUP(M242,Alignements!$A$2:$B$10,2, FALSE)&amp;""""))))))</f>
        <v>"8_NM"</v>
      </c>
      <c r="O242" s="297"/>
      <c r="P242" t="str">
        <f t="shared" si="11"/>
        <v>"Drow, prêtresse de Lolth": {
  "Name" : "Drow, prêtresse de Lolth",
  "VO" : "Drow Priestress of Lolth",
  "Family" : "HUMANOID",
  "Species" : ["ELF"],
  "FP" : "8", 
  "Size" : "M",
  "AC" : 16,
  "HP" : 71, 
  "Speed" : "",
  "Alignments" : ["8_NM"],
  "Legendary" : ""}</v>
      </c>
    </row>
    <row r="243" spans="1:16">
      <c r="A243" s="61" t="s">
        <v>290</v>
      </c>
      <c r="B243" s="298" t="s">
        <v>278</v>
      </c>
      <c r="C243" s="306">
        <v>2</v>
      </c>
      <c r="D243" s="298" t="s">
        <v>4108</v>
      </c>
      <c r="E243" s="297" t="str">
        <f t="shared" si="9"/>
        <v>Humanoïde</v>
      </c>
      <c r="F243" s="297" t="str">
        <f>VLOOKUP(E243,'Types de monstres'!$A$2:$B$17,2,FALSE)</f>
        <v>HUMANOID</v>
      </c>
      <c r="G243" s="297" t="str">
        <f t="shared" si="10"/>
        <v>toute race</v>
      </c>
      <c r="H243" s="297" t="str">
        <f>IF(OR(G243="",G243="toute race"),"",VLOOKUP(G243,'Types de monstres'!$F$2:$G$49,2,FALSE))</f>
        <v/>
      </c>
      <c r="I243" s="298" t="s">
        <v>4091</v>
      </c>
      <c r="J243" s="300">
        <v>11</v>
      </c>
      <c r="K243" s="300">
        <v>27</v>
      </c>
      <c r="L243" s="298"/>
      <c r="M243" s="298" t="s">
        <v>4109</v>
      </c>
      <c r="N243" s="297" t="str">
        <f>IF(M243="sans alignement","",IF(M243="tout alignement", """1_LB"", ""2_NB"", ""3_CB"", ""4_LN"", ""5_NN"", ""6_CN"", ""7_LM"", ""8_NM"", ""9_CM""",IF(M243="tout alignement non bon", """4_LN"", ""5_NN"", ""6_CN"", ""7_LM"", ""8_NM"", ""9_CM""",IF(M243="tout alignement mauvais", """7_LM"", ""8_NM"", ""9_CM""",IF(M243="tout alignement chaotique", """3_CB"", ""6_CN"", ""9_CM""",IF(M243="tout alignement non loyal", """2_NB"", ""3_CB"", ""5_NN"", ""6_CN"", ""8_NM"", ""9_CM""",""""&amp;VLOOKUP(M243,Alignements!$A$2:$B$10,2, FALSE)&amp;""""))))))</f>
        <v>"1_LB", "2_NB", "3_CB", "4_LN", "5_NN", "6_CN", "7_LM", "8_NM", "9_CM"</v>
      </c>
      <c r="O243" s="298"/>
      <c r="P243" t="str">
        <f t="shared" si="11"/>
        <v>"Druide": {
  "Name" : "Druide",
  "VO" : "Druid",
  "Family" : "HUMANOID",
  "Species" : [""],
  "FP" : "2", 
  "Size" : "M",
  "AC" : 11,
  "HP" : 27, 
  "Speed" : "",
  "Alignments" : ["1_LB", "2_NB", "3_CB", "4_LN", "5_NN", "6_CN", "7_LM", "8_NM", "9_CM"],
  "Legendary" : ""}</v>
      </c>
    </row>
    <row r="244" spans="1:16">
      <c r="A244" s="61" t="s">
        <v>4560</v>
      </c>
      <c r="B244" s="297" t="s">
        <v>4561</v>
      </c>
      <c r="C244" s="305">
        <v>1</v>
      </c>
      <c r="D244" s="297" t="s">
        <v>4253</v>
      </c>
      <c r="E244" s="297" t="str">
        <f t="shared" si="9"/>
        <v>Fée</v>
      </c>
      <c r="F244" s="297" t="str">
        <f>VLOOKUP(E244,'Types de monstres'!$A$2:$B$17,2,FALSE)</f>
        <v>FAIRY</v>
      </c>
      <c r="G244" s="297" t="str">
        <f t="shared" si="10"/>
        <v/>
      </c>
      <c r="H244" s="297" t="str">
        <f>IF(OR(G244="",G244="toute race"),"",VLOOKUP(G244,'Types de monstres'!$F$2:$G$49,2,FALSE))</f>
        <v/>
      </c>
      <c r="I244" s="297" t="s">
        <v>4091</v>
      </c>
      <c r="J244" s="302">
        <v>11</v>
      </c>
      <c r="K244" s="302">
        <v>22</v>
      </c>
      <c r="L244" s="297"/>
      <c r="M244" s="297" t="s">
        <v>4193</v>
      </c>
      <c r="N244" s="297" t="str">
        <f>IF(M244="sans alignement","",IF(M244="tout alignement", """1_LB"", ""2_NB"", ""3_CB"", ""4_LN"", ""5_NN"", ""6_CN"", ""7_LM"", ""8_NM"", ""9_CM""",IF(M244="tout alignement non bon", """4_LN"", ""5_NN"", ""6_CN"", ""7_LM"", ""8_NM"", ""9_CM""",IF(M244="tout alignement mauvais", """7_LM"", ""8_NM"", ""9_CM""",IF(M244="tout alignement chaotique", """3_CB"", ""6_CN"", ""9_CM""",IF(M244="tout alignement non loyal", """2_NB"", ""3_CB"", ""5_NN"", ""6_CN"", ""8_NM"", ""9_CM""",""""&amp;VLOOKUP(M244,Alignements!$A$2:$B$10,2, FALSE)&amp;""""))))))</f>
        <v>"5_NN"</v>
      </c>
      <c r="O244" s="297"/>
      <c r="P244" t="str">
        <f t="shared" si="11"/>
        <v>"Dryade": {
  "Name" : "Dryade",
  "VO" : "Dryad",
  "Family" : "FAIRY",
  "Species" : [""],
  "FP" : "1", 
  "Size" : "M",
  "AC" : 11,
  "HP" : 22, 
  "Speed" : "",
  "Alignments" : ["5_NN"],
  "Legendary" : ""}</v>
      </c>
    </row>
    <row r="245" spans="1:16">
      <c r="A245" s="61" t="s">
        <v>4562</v>
      </c>
      <c r="B245" s="298" t="s">
        <v>4562</v>
      </c>
      <c r="C245" s="306">
        <v>1</v>
      </c>
      <c r="D245" s="298" t="s">
        <v>4563</v>
      </c>
      <c r="E245" s="297" t="str">
        <f t="shared" si="9"/>
        <v>Humanoïde</v>
      </c>
      <c r="F245" s="297" t="str">
        <f>VLOOKUP(E245,'Types de monstres'!$A$2:$B$17,2,FALSE)</f>
        <v>HUMANOID</v>
      </c>
      <c r="G245" s="297" t="str">
        <f t="shared" si="10"/>
        <v>nain</v>
      </c>
      <c r="H245" s="297" t="str">
        <f>IF(OR(G245="",G245="toute race"),"",VLOOKUP(G245,'Types de monstres'!$F$2:$G$49,2,FALSE))</f>
        <v>DWARF</v>
      </c>
      <c r="I245" s="298" t="s">
        <v>4091</v>
      </c>
      <c r="J245" s="300">
        <v>16</v>
      </c>
      <c r="K245" s="300">
        <v>26</v>
      </c>
      <c r="L245" s="298"/>
      <c r="M245" s="298" t="s">
        <v>4097</v>
      </c>
      <c r="N245" s="297" t="str">
        <f>IF(M245="sans alignement","",IF(M245="tout alignement", """1_LB"", ""2_NB"", ""3_CB"", ""4_LN"", ""5_NN"", ""6_CN"", ""7_LM"", ""8_NM"", ""9_CM""",IF(M245="tout alignement non bon", """4_LN"", ""5_NN"", ""6_CN"", ""7_LM"", ""8_NM"", ""9_CM""",IF(M245="tout alignement mauvais", """7_LM"", ""8_NM"", ""9_CM""",IF(M245="tout alignement chaotique", """3_CB"", ""6_CN"", ""9_CM""",IF(M245="tout alignement non loyal", """2_NB"", ""3_CB"", ""5_NN"", ""6_CN"", ""8_NM"", ""9_CM""",""""&amp;VLOOKUP(M245,Alignements!$A$2:$B$10,2, FALSE)&amp;""""))))))</f>
        <v>"7_LM"</v>
      </c>
      <c r="O245" s="298"/>
      <c r="P245" t="str">
        <f t="shared" si="11"/>
        <v>"Duergar": {
  "Name" : "Duergar",
  "VO" : "Duergar",
  "Family" : "HUMANOID",
  "Species" : ["DWARF"],
  "FP" : "1", 
  "Size" : "M",
  "AC" : 16,
  "HP" : 26, 
  "Speed" : "",
  "Alignments" : ["7_LM"],
  "Legendary" : ""}</v>
      </c>
    </row>
    <row r="246" spans="1:16">
      <c r="A246" s="301" t="s">
        <v>4564</v>
      </c>
      <c r="B246" s="297" t="s">
        <v>4565</v>
      </c>
      <c r="C246" s="305">
        <v>12</v>
      </c>
      <c r="D246" s="297" t="s">
        <v>4563</v>
      </c>
      <c r="E246" s="297" t="str">
        <f t="shared" si="9"/>
        <v>Humanoïde</v>
      </c>
      <c r="F246" s="297" t="str">
        <f>VLOOKUP(E246,'Types de monstres'!$A$2:$B$17,2,FALSE)</f>
        <v>HUMANOID</v>
      </c>
      <c r="G246" s="297" t="str">
        <f t="shared" si="10"/>
        <v>nain</v>
      </c>
      <c r="H246" s="297" t="str">
        <f>IF(OR(G246="",G246="toute race"),"",VLOOKUP(G246,'Types de monstres'!$F$2:$G$49,2,FALSE))</f>
        <v>DWARF</v>
      </c>
      <c r="I246" s="297" t="s">
        <v>4091</v>
      </c>
      <c r="J246" s="302">
        <v>21</v>
      </c>
      <c r="K246" s="302">
        <v>119</v>
      </c>
      <c r="L246" s="297"/>
      <c r="M246" s="297" t="s">
        <v>4097</v>
      </c>
      <c r="N246" s="297" t="str">
        <f>IF(M246="sans alignement","",IF(M246="tout alignement", """1_LB"", ""2_NB"", ""3_CB"", ""4_LN"", ""5_NN"", ""6_CN"", ""7_LM"", ""8_NM"", ""9_CM""",IF(M246="tout alignement non bon", """4_LN"", ""5_NN"", ""6_CN"", ""7_LM"", ""8_NM"", ""9_CM""",IF(M246="tout alignement mauvais", """7_LM"", ""8_NM"", ""9_CM""",IF(M246="tout alignement chaotique", """3_CB"", ""6_CN"", ""9_CM""",IF(M246="tout alignement non loyal", """2_NB"", ""3_CB"", ""5_NN"", ""6_CN"", ""8_NM"", ""9_CM""",""""&amp;VLOOKUP(M246,Alignements!$A$2:$B$10,2, FALSE)&amp;""""))))))</f>
        <v>"7_LM"</v>
      </c>
      <c r="O246" s="297"/>
      <c r="P246" t="str">
        <f t="shared" si="11"/>
        <v>"Duergar, despote": {
  "Name" : "Duergar, despote",
  "VO" : "Duergar Despot",
  "Family" : "HUMANOID",
  "Species" : ["DWARF"],
  "FP" : "12", 
  "Size" : "M",
  "AC" : 21,
  "HP" : 119, 
  "Speed" : "",
  "Alignments" : ["7_LM"],
  "Legendary" : ""}</v>
      </c>
    </row>
    <row r="247" spans="1:16" ht="21">
      <c r="A247" s="61" t="s">
        <v>4566</v>
      </c>
      <c r="B247" s="298" t="s">
        <v>4567</v>
      </c>
      <c r="C247" s="306">
        <v>2</v>
      </c>
      <c r="D247" s="298" t="s">
        <v>4563</v>
      </c>
      <c r="E247" s="297" t="str">
        <f t="shared" si="9"/>
        <v>Humanoïde</v>
      </c>
      <c r="F247" s="297" t="str">
        <f>VLOOKUP(E247,'Types de monstres'!$A$2:$B$17,2,FALSE)</f>
        <v>HUMANOID</v>
      </c>
      <c r="G247" s="297" t="str">
        <f t="shared" si="10"/>
        <v>nain</v>
      </c>
      <c r="H247" s="297" t="str">
        <f>IF(OR(G247="",G247="toute race"),"",VLOOKUP(G247,'Types de monstres'!$F$2:$G$49,2,FALSE))</f>
        <v>DWARF</v>
      </c>
      <c r="I247" s="298" t="s">
        <v>4091</v>
      </c>
      <c r="J247" s="300">
        <v>18</v>
      </c>
      <c r="K247" s="300">
        <v>39</v>
      </c>
      <c r="L247" s="298"/>
      <c r="M247" s="298" t="s">
        <v>4097</v>
      </c>
      <c r="N247" s="297" t="str">
        <f>IF(M247="sans alignement","",IF(M247="tout alignement", """1_LB"", ""2_NB"", ""3_CB"", ""4_LN"", ""5_NN"", ""6_CN"", ""7_LM"", ""8_NM"", ""9_CM""",IF(M247="tout alignement non bon", """4_LN"", ""5_NN"", ""6_CN"", ""7_LM"", ""8_NM"", ""9_CM""",IF(M247="tout alignement mauvais", """7_LM"", ""8_NM"", ""9_CM""",IF(M247="tout alignement chaotique", """3_CB"", ""6_CN"", ""9_CM""",IF(M247="tout alignement non loyal", """2_NB"", ""3_CB"", ""5_NN"", ""6_CN"", ""8_NM"", ""9_CM""",""""&amp;VLOOKUP(M247,Alignements!$A$2:$B$10,2, FALSE)&amp;""""))))))</f>
        <v>"7_LM"</v>
      </c>
      <c r="O247" s="298"/>
      <c r="P247" t="str">
        <f t="shared" si="11"/>
        <v>"Duergar, garde de pierre": {
  "Name" : "Duergar, garde de pierre",
  "VO" : "Duergar Stone Guard",
  "Family" : "HUMANOID",
  "Species" : ["DWARF"],
  "FP" : "2", 
  "Size" : "M",
  "AC" : 18,
  "HP" : 39, 
  "Speed" : "",
  "Alignments" : ["7_LM"],
  "Legendary" : ""}</v>
      </c>
    </row>
    <row r="248" spans="1:16" ht="21">
      <c r="A248" s="301" t="s">
        <v>4568</v>
      </c>
      <c r="B248" s="297" t="s">
        <v>4569</v>
      </c>
      <c r="C248" s="305">
        <v>2</v>
      </c>
      <c r="D248" s="297" t="s">
        <v>4563</v>
      </c>
      <c r="E248" s="297" t="str">
        <f t="shared" si="9"/>
        <v>Humanoïde</v>
      </c>
      <c r="F248" s="297" t="str">
        <f>VLOOKUP(E248,'Types de monstres'!$A$2:$B$17,2,FALSE)</f>
        <v>HUMANOID</v>
      </c>
      <c r="G248" s="297" t="str">
        <f t="shared" si="10"/>
        <v>nain</v>
      </c>
      <c r="H248" s="297" t="str">
        <f>IF(OR(G248="",G248="toute race"),"",VLOOKUP(G248,'Types de monstres'!$F$2:$G$49,2,FALSE))</f>
        <v>DWARF</v>
      </c>
      <c r="I248" s="297" t="s">
        <v>4091</v>
      </c>
      <c r="J248" s="302">
        <v>16</v>
      </c>
      <c r="K248" s="302">
        <v>26</v>
      </c>
      <c r="L248" s="297"/>
      <c r="M248" s="297" t="s">
        <v>4097</v>
      </c>
      <c r="N248" s="297" t="str">
        <f>IF(M248="sans alignement","",IF(M248="tout alignement", """1_LB"", ""2_NB"", ""3_CB"", ""4_LN"", ""5_NN"", ""6_CN"", ""7_LM"", ""8_NM"", ""9_CM""",IF(M248="tout alignement non bon", """4_LN"", ""5_NN"", ""6_CN"", ""7_LM"", ""8_NM"", ""9_CM""",IF(M248="tout alignement mauvais", """7_LM"", ""8_NM"", ""9_CM""",IF(M248="tout alignement chaotique", """3_CB"", ""6_CN"", ""9_CM""",IF(M248="tout alignement non loyal", """2_NB"", ""3_CB"", ""5_NN"", ""6_CN"", ""8_NM"", ""9_CM""",""""&amp;VLOOKUP(M248,Alignements!$A$2:$B$10,2, FALSE)&amp;""""))))))</f>
        <v>"7_LM"</v>
      </c>
      <c r="O248" s="297"/>
      <c r="P248" t="str">
        <f t="shared" si="11"/>
        <v>"Duergar, kavalrachni": {
  "Name" : "Duergar, kavalrachni",
  "VO" : "Duergar Kavalrachni",
  "Family" : "HUMANOID",
  "Species" : ["DWARF"],
  "FP" : "2", 
  "Size" : "M",
  "AC" : 16,
  "HP" : 26, 
  "Speed" : "",
  "Alignments" : ["7_LM"],
  "Legendary" : ""}</v>
      </c>
    </row>
    <row r="249" spans="1:16" ht="21">
      <c r="A249" s="299" t="s">
        <v>4570</v>
      </c>
      <c r="B249" s="298" t="s">
        <v>4571</v>
      </c>
      <c r="C249" s="306">
        <v>1</v>
      </c>
      <c r="D249" s="298" t="s">
        <v>4563</v>
      </c>
      <c r="E249" s="297" t="str">
        <f t="shared" si="9"/>
        <v>Humanoïde</v>
      </c>
      <c r="F249" s="297" t="str">
        <f>VLOOKUP(E249,'Types de monstres'!$A$2:$B$17,2,FALSE)</f>
        <v>HUMANOID</v>
      </c>
      <c r="G249" s="297" t="str">
        <f t="shared" si="10"/>
        <v>nain</v>
      </c>
      <c r="H249" s="297" t="str">
        <f>IF(OR(G249="",G249="toute race"),"",VLOOKUP(G249,'Types de monstres'!$F$2:$G$49,2,FALSE))</f>
        <v>DWARF</v>
      </c>
      <c r="I249" s="298" t="s">
        <v>4091</v>
      </c>
      <c r="J249" s="300">
        <v>14</v>
      </c>
      <c r="K249" s="300">
        <v>18</v>
      </c>
      <c r="L249" s="298"/>
      <c r="M249" s="298" t="s">
        <v>4097</v>
      </c>
      <c r="N249" s="297" t="str">
        <f>IF(M249="sans alignement","",IF(M249="tout alignement", """1_LB"", ""2_NB"", ""3_CB"", ""4_LN"", ""5_NN"", ""6_CN"", ""7_LM"", ""8_NM"", ""9_CM""",IF(M249="tout alignement non bon", """4_LN"", ""5_NN"", ""6_CN"", ""7_LM"", ""8_NM"", ""9_CM""",IF(M249="tout alignement mauvais", """7_LM"", ""8_NM"", ""9_CM""",IF(M249="tout alignement chaotique", """3_CB"", ""6_CN"", ""9_CM""",IF(M249="tout alignement non loyal", """2_NB"", ""3_CB"", ""5_NN"", ""6_CN"", ""8_NM"", ""9_CM""",""""&amp;VLOOKUP(M249,Alignements!$A$2:$B$10,2, FALSE)&amp;""""))))))</f>
        <v>"7_LM"</v>
      </c>
      <c r="O249" s="298"/>
      <c r="P249" t="str">
        <f t="shared" si="11"/>
        <v>"Duergar, lame d'âme": {
  "Name" : "Duergar, lame d'âme",
  "VO" : "Duergar Soulblade",
  "Family" : "HUMANOID",
  "Species" : ["DWARF"],
  "FP" : "1", 
  "Size" : "M",
  "AC" : 14,
  "HP" : 18, 
  "Speed" : "",
  "Alignments" : ["7_LM"],
  "Legendary" : ""}</v>
      </c>
    </row>
    <row r="250" spans="1:16" ht="21">
      <c r="A250" s="301" t="s">
        <v>4572</v>
      </c>
      <c r="B250" s="297" t="s">
        <v>4573</v>
      </c>
      <c r="C250" s="305">
        <v>2</v>
      </c>
      <c r="D250" s="297" t="s">
        <v>4563</v>
      </c>
      <c r="E250" s="297" t="str">
        <f t="shared" si="9"/>
        <v>Humanoïde</v>
      </c>
      <c r="F250" s="297" t="str">
        <f>VLOOKUP(E250,'Types de monstres'!$A$2:$B$17,2,FALSE)</f>
        <v>HUMANOID</v>
      </c>
      <c r="G250" s="297" t="str">
        <f t="shared" si="10"/>
        <v>nain</v>
      </c>
      <c r="H250" s="297" t="str">
        <f>IF(OR(G250="",G250="toute race"),"",VLOOKUP(G250,'Types de monstres'!$F$2:$G$49,2,FALSE))</f>
        <v>DWARF</v>
      </c>
      <c r="I250" s="297" t="s">
        <v>4091</v>
      </c>
      <c r="J250" s="302">
        <v>14</v>
      </c>
      <c r="K250" s="302">
        <v>39</v>
      </c>
      <c r="L250" s="297"/>
      <c r="M250" s="297" t="s">
        <v>4097</v>
      </c>
      <c r="N250" s="297" t="str">
        <f>IF(M250="sans alignement","",IF(M250="tout alignement", """1_LB"", ""2_NB"", ""3_CB"", ""4_LN"", ""5_NN"", ""6_CN"", ""7_LM"", ""8_NM"", ""9_CM""",IF(M250="tout alignement non bon", """4_LN"", ""5_NN"", ""6_CN"", ""7_LM"", ""8_NM"", ""9_CM""",IF(M250="tout alignement mauvais", """7_LM"", ""8_NM"", ""9_CM""",IF(M250="tout alignement chaotique", """3_CB"", ""6_CN"", ""9_CM""",IF(M250="tout alignement non loyal", """2_NB"", ""3_CB"", ""5_NN"", ""6_CN"", ""8_NM"", ""9_CM""",""""&amp;VLOOKUP(M250,Alignements!$A$2:$B$10,2, FALSE)&amp;""""))))))</f>
        <v>"7_LM"</v>
      </c>
      <c r="O250" s="297"/>
      <c r="P250" t="str">
        <f t="shared" si="11"/>
        <v>"Duergar, maître des esprits": {
  "Name" : "Duergar, maître des esprits",
  "VO" : "Duergar Mind Master",
  "Family" : "HUMANOID",
  "Species" : ["DWARF"],
  "FP" : "2", 
  "Size" : "M",
  "AC" : 14,
  "HP" : 39, 
  "Speed" : "",
  "Alignments" : ["7_LM"],
  "Legendary" : ""}</v>
      </c>
    </row>
    <row r="251" spans="1:16">
      <c r="A251" s="61" t="s">
        <v>4574</v>
      </c>
      <c r="B251" s="298" t="s">
        <v>4575</v>
      </c>
      <c r="C251" s="306">
        <v>6</v>
      </c>
      <c r="D251" s="298" t="s">
        <v>4563</v>
      </c>
      <c r="E251" s="297" t="str">
        <f t="shared" si="9"/>
        <v>Humanoïde</v>
      </c>
      <c r="F251" s="297" t="str">
        <f>VLOOKUP(E251,'Types de monstres'!$A$2:$B$17,2,FALSE)</f>
        <v>HUMANOID</v>
      </c>
      <c r="G251" s="297" t="str">
        <f t="shared" si="10"/>
        <v>nain</v>
      </c>
      <c r="H251" s="297" t="str">
        <f>IF(OR(G251="",G251="toute race"),"",VLOOKUP(G251,'Types de monstres'!$F$2:$G$49,2,FALSE))</f>
        <v>DWARF</v>
      </c>
      <c r="I251" s="298" t="s">
        <v>4091</v>
      </c>
      <c r="J251" s="300">
        <v>20</v>
      </c>
      <c r="K251" s="300">
        <v>75</v>
      </c>
      <c r="L251" s="298"/>
      <c r="M251" s="298" t="s">
        <v>4097</v>
      </c>
      <c r="N251" s="297" t="str">
        <f>IF(M251="sans alignement","",IF(M251="tout alignement", """1_LB"", ""2_NB"", ""3_CB"", ""4_LN"", ""5_NN"", ""6_CN"", ""7_LM"", ""8_NM"", ""9_CM""",IF(M251="tout alignement non bon", """4_LN"", ""5_NN"", ""6_CN"", ""7_LM"", ""8_NM"", ""9_CM""",IF(M251="tout alignement mauvais", """7_LM"", ""8_NM"", ""9_CM""",IF(M251="tout alignement chaotique", """3_CB"", ""6_CN"", ""9_CM""",IF(M251="tout alignement non loyal", """2_NB"", ""3_CB"", ""5_NN"", ""6_CN"", ""8_NM"", ""9_CM""",""""&amp;VLOOKUP(M251,Alignements!$A$2:$B$10,2, FALSE)&amp;""""))))))</f>
        <v>"7_LM"</v>
      </c>
      <c r="O251" s="298"/>
      <c r="P251" t="str">
        <f t="shared" si="11"/>
        <v>"Duergar, seigneur de guerre": {
  "Name" : "Duergar, seigneur de guerre",
  "VO" : "Duergar Warlord",
  "Family" : "HUMANOID",
  "Species" : ["DWARF"],
  "FP" : "6", 
  "Size" : "M",
  "AC" : 20,
  "HP" : 75, 
  "Speed" : "",
  "Alignments" : ["7_LM"],
  "Legendary" : ""}</v>
      </c>
    </row>
    <row r="252" spans="1:16">
      <c r="A252" s="301" t="s">
        <v>4576</v>
      </c>
      <c r="B252" s="297" t="s">
        <v>4577</v>
      </c>
      <c r="C252" s="305">
        <v>2</v>
      </c>
      <c r="D252" s="297" t="s">
        <v>4563</v>
      </c>
      <c r="E252" s="297" t="str">
        <f t="shared" si="9"/>
        <v>Humanoïde</v>
      </c>
      <c r="F252" s="297" t="str">
        <f>VLOOKUP(E252,'Types de monstres'!$A$2:$B$17,2,FALSE)</f>
        <v>HUMANOID</v>
      </c>
      <c r="G252" s="297" t="str">
        <f t="shared" si="10"/>
        <v>nain</v>
      </c>
      <c r="H252" s="297" t="str">
        <f>IF(OR(G252="",G252="toute race"),"",VLOOKUP(G252,'Types de monstres'!$F$2:$G$49,2,FALSE))</f>
        <v>DWARF</v>
      </c>
      <c r="I252" s="297" t="s">
        <v>4091</v>
      </c>
      <c r="J252" s="302">
        <v>18</v>
      </c>
      <c r="K252" s="302">
        <v>26</v>
      </c>
      <c r="L252" s="297"/>
      <c r="M252" s="297" t="s">
        <v>4097</v>
      </c>
      <c r="N252" s="297" t="str">
        <f>IF(M252="sans alignement","",IF(M252="tout alignement", """1_LB"", ""2_NB"", ""3_CB"", ""4_LN"", ""5_NN"", ""6_CN"", ""7_LM"", ""8_NM"", ""9_CM""",IF(M252="tout alignement non bon", """4_LN"", ""5_NN"", ""6_CN"", ""7_LM"", ""8_NM"", ""9_CM""",IF(M252="tout alignement mauvais", """7_LM"", ""8_NM"", ""9_CM""",IF(M252="tout alignement chaotique", """3_CB"", ""6_CN"", ""9_CM""",IF(M252="tout alignement non loyal", """2_NB"", ""3_CB"", ""5_NN"", ""6_CN"", ""8_NM"", ""9_CM""",""""&amp;VLOOKUP(M252,Alignements!$A$2:$B$10,2, FALSE)&amp;""""))))))</f>
        <v>"7_LM"</v>
      </c>
      <c r="O252" s="297"/>
      <c r="P252" t="str">
        <f t="shared" si="11"/>
        <v>"Duergar, xarrorn": {
  "Name" : "Duergar, xarrorn",
  "VO" : "Duergar Xarrorn",
  "Family" : "HUMANOID",
  "Species" : ["DWARF"],
  "FP" : "2", 
  "Size" : "M",
  "AC" : 18,
  "HP" : 26, 
  "Speed" : "",
  "Alignments" : ["7_LM"],
  "Legendary" : ""}</v>
      </c>
    </row>
    <row r="253" spans="1:16">
      <c r="A253" s="61" t="s">
        <v>4578</v>
      </c>
      <c r="B253" s="298" t="s">
        <v>4578</v>
      </c>
      <c r="C253" s="306" t="s">
        <v>5618</v>
      </c>
      <c r="D253" s="298" t="s">
        <v>4181</v>
      </c>
      <c r="E253" s="297" t="str">
        <f t="shared" si="9"/>
        <v>Créature artificielle</v>
      </c>
      <c r="F253" s="297" t="str">
        <f>VLOOKUP(E253,'Types de monstres'!$A$2:$B$17,2,FALSE)</f>
        <v>ARTIFICIAL_CREATURE</v>
      </c>
      <c r="G253" s="297" t="str">
        <f t="shared" si="10"/>
        <v/>
      </c>
      <c r="H253" s="297" t="str">
        <f>IF(OR(G253="",G253="toute race"),"",VLOOKUP(G253,'Types de monstres'!$F$2:$G$49,2,FALSE))</f>
        <v/>
      </c>
      <c r="I253" s="298" t="s">
        <v>4091</v>
      </c>
      <c r="J253" s="300">
        <v>15</v>
      </c>
      <c r="K253" s="300">
        <v>11</v>
      </c>
      <c r="L253" s="298"/>
      <c r="M253" s="298" t="s">
        <v>4145</v>
      </c>
      <c r="N253" s="297" t="str">
        <f>IF(M253="sans alignement","",IF(M253="tout alignement", """1_LB"", ""2_NB"", ""3_CB"", ""4_LN"", ""5_NN"", ""6_CN"", ""7_LM"", ""8_NM"", ""9_CM""",IF(M253="tout alignement non bon", """4_LN"", ""5_NN"", ""6_CN"", ""7_LM"", ""8_NM"", ""9_CM""",IF(M253="tout alignement mauvais", """7_LM"", ""8_NM"", ""9_CM""",IF(M253="tout alignement chaotique", """3_CB"", ""6_CN"", ""9_CM""",IF(M253="tout alignement non loyal", """2_NB"", ""3_CB"", ""5_NN"", ""6_CN"", ""8_NM"", ""9_CM""",""""&amp;VLOOKUP(M253,Alignements!$A$2:$B$10,2, FALSE)&amp;""""))))))</f>
        <v>"4_LN"</v>
      </c>
      <c r="O253" s="298"/>
      <c r="P253" t="str">
        <f t="shared" si="11"/>
        <v>"Duodrone": {
  "Name" : "Duodrone",
  "VO" : "Duodrone",
  "Family" : "ARTIFICIAL_CREATURE",
  "Species" : [""],
  "FP" : "1/4", 
  "Size" : "M",
  "AC" : 15,
  "HP" : 11, 
  "Speed" : "",
  "Alignments" : ["4_LN"],
  "Legendary" : ""}</v>
      </c>
    </row>
    <row r="254" spans="1:16">
      <c r="A254" s="301" t="s">
        <v>4579</v>
      </c>
      <c r="B254" s="297" t="s">
        <v>4579</v>
      </c>
      <c r="C254" s="305">
        <v>4</v>
      </c>
      <c r="D254" s="297" t="s">
        <v>4136</v>
      </c>
      <c r="E254" s="297" t="str">
        <f t="shared" si="9"/>
        <v>Fiélon</v>
      </c>
      <c r="F254" s="297" t="str">
        <f>VLOOKUP(E254,'Types de monstres'!$A$2:$B$17,2,FALSE)</f>
        <v>FIEND</v>
      </c>
      <c r="G254" s="297" t="str">
        <f t="shared" si="10"/>
        <v>démon</v>
      </c>
      <c r="H254" s="297" t="str">
        <f>IF(OR(G254="",G254="toute race"),"",VLOOKUP(G254,'Types de monstres'!$F$2:$G$49,2,FALSE))</f>
        <v>DAEMON</v>
      </c>
      <c r="I254" s="297" t="s">
        <v>4091</v>
      </c>
      <c r="J254" s="302">
        <v>14</v>
      </c>
      <c r="K254" s="302">
        <v>37</v>
      </c>
      <c r="L254" s="297" t="s">
        <v>4092</v>
      </c>
      <c r="M254" s="297" t="s">
        <v>4137</v>
      </c>
      <c r="N254" s="297" t="str">
        <f>IF(M254="sans alignement","",IF(M254="tout alignement", """1_LB"", ""2_NB"", ""3_CB"", ""4_LN"", ""5_NN"", ""6_CN"", ""7_LM"", ""8_NM"", ""9_CM""",IF(M254="tout alignement non bon", """4_LN"", ""5_NN"", ""6_CN"", ""7_LM"", ""8_NM"", ""9_CM""",IF(M254="tout alignement mauvais", """7_LM"", ""8_NM"", ""9_CM""",IF(M254="tout alignement chaotique", """3_CB"", ""6_CN"", ""9_CM""",IF(M254="tout alignement non loyal", """2_NB"", ""3_CB"", ""5_NN"", ""6_CN"", ""8_NM"", ""9_CM""",""""&amp;VLOOKUP(M254,Alignements!$A$2:$B$10,2, FALSE)&amp;""""))))))</f>
        <v>"9_CM"</v>
      </c>
      <c r="O254" s="297"/>
      <c r="P254" t="str">
        <f t="shared" si="11"/>
        <v>"Dybbuk": {
  "Name" : "Dybbuk",
  "VO" : "Dybbuk",
  "Family" : "FIEND",
  "Species" : ["DAEMON"],
  "FP" : "4", 
  "Size" : "M",
  "AC" : 14,
  "HP" : 37, 
  "Speed" : "vol",
  "Alignments" : ["9_CM"],
  "Legendary" : ""}</v>
      </c>
    </row>
    <row r="255" spans="1:16">
      <c r="A255" s="299" t="s">
        <v>4580</v>
      </c>
      <c r="B255" s="298" t="s">
        <v>4580</v>
      </c>
      <c r="C255" s="306">
        <v>24</v>
      </c>
      <c r="D255" s="298" t="s">
        <v>4111</v>
      </c>
      <c r="E255" s="297" t="str">
        <f t="shared" si="9"/>
        <v>Aberration</v>
      </c>
      <c r="F255" s="297" t="str">
        <f>VLOOKUP(E255,'Types de monstres'!$A$2:$B$17,2,FALSE)</f>
        <v>ABERRATION</v>
      </c>
      <c r="G255" s="297" t="str">
        <f t="shared" si="10"/>
        <v/>
      </c>
      <c r="H255" s="297" t="str">
        <f>IF(OR(G255="",G255="toute race"),"",VLOOKUP(G255,'Types de monstres'!$F$2:$G$49,2,FALSE))</f>
        <v/>
      </c>
      <c r="I255" s="298" t="s">
        <v>4091</v>
      </c>
      <c r="J255" s="300">
        <v>21</v>
      </c>
      <c r="K255" s="300">
        <v>325</v>
      </c>
      <c r="L255" s="298" t="s">
        <v>4092</v>
      </c>
      <c r="M255" s="298" t="s">
        <v>4137</v>
      </c>
      <c r="N255" s="297" t="str">
        <f>IF(M255="sans alignement","",IF(M255="tout alignement", """1_LB"", ""2_NB"", ""3_CB"", ""4_LN"", ""5_NN"", ""6_CN"", ""7_LM"", ""8_NM"", ""9_CM""",IF(M255="tout alignement non bon", """4_LN"", ""5_NN"", ""6_CN"", ""7_LM"", ""8_NM"", ""9_CM""",IF(M255="tout alignement mauvais", """7_LM"", ""8_NM"", ""9_CM""",IF(M255="tout alignement chaotique", """3_CB"", ""6_CN"", ""9_CM""",IF(M255="tout alignement non loyal", """2_NB"", ""3_CB"", ""5_NN"", ""6_CN"", ""8_NM"", ""9_CM""",""""&amp;VLOOKUP(M255,Alignements!$A$2:$B$10,2, FALSE)&amp;""""))))))</f>
        <v>"9_CM"</v>
      </c>
      <c r="O255" s="298"/>
      <c r="P255" t="str">
        <f t="shared" si="11"/>
        <v>"Dyrrn": {
  "Name" : "Dyrrn",
  "VO" : "Dyrrn",
  "Family" : "ABERRATION",
  "Species" : [""],
  "FP" : "24", 
  "Size" : "M",
  "AC" : 21,
  "HP" : 325, 
  "Speed" : "vol",
  "Alignments" : ["9_CM"],
  "Legendary" : ""}</v>
      </c>
    </row>
    <row r="256" spans="1:16" ht="21">
      <c r="A256" s="61" t="s">
        <v>4581</v>
      </c>
      <c r="B256" s="297" t="s">
        <v>4582</v>
      </c>
      <c r="C256" s="305">
        <v>5</v>
      </c>
      <c r="D256" s="297" t="s">
        <v>4181</v>
      </c>
      <c r="E256" s="297" t="str">
        <f t="shared" si="9"/>
        <v>Créature artificielle</v>
      </c>
      <c r="F256" s="297" t="str">
        <f>VLOOKUP(E256,'Types de monstres'!$A$2:$B$17,2,FALSE)</f>
        <v>ARTIFICIAL_CREATURE</v>
      </c>
      <c r="G256" s="297" t="str">
        <f t="shared" si="10"/>
        <v/>
      </c>
      <c r="H256" s="297" t="str">
        <f>IF(OR(G256="",G256="toute race"),"",VLOOKUP(G256,'Types de monstres'!$F$2:$G$49,2,FALSE))</f>
        <v/>
      </c>
      <c r="I256" s="297" t="s">
        <v>4112</v>
      </c>
      <c r="J256" s="302">
        <v>15</v>
      </c>
      <c r="K256" s="302">
        <v>57</v>
      </c>
      <c r="L256" s="297" t="s">
        <v>4092</v>
      </c>
      <c r="M256" s="297" t="s">
        <v>4130</v>
      </c>
      <c r="N256" s="297" t="str">
        <f>IF(M256="sans alignement","",IF(M256="tout alignement", """1_LB"", ""2_NB"", ""3_CB"", ""4_LN"", ""5_NN"", ""6_CN"", ""7_LM"", ""8_NM"", ""9_CM""",IF(M256="tout alignement non bon", """4_LN"", ""5_NN"", ""6_CN"", ""7_LM"", ""8_NM"", ""9_CM""",IF(M256="tout alignement mauvais", """7_LM"", ""8_NM"", ""9_CM""",IF(M256="tout alignement chaotique", """3_CB"", ""6_CN"", ""9_CM""",IF(M256="tout alignement non loyal", """2_NB"", ""3_CB"", ""5_NN"", ""6_CN"", ""8_NM"", ""9_CM""",""""&amp;VLOOKUP(M256,Alignements!$A$2:$B$10,2, FALSE)&amp;""""))))))</f>
        <v/>
      </c>
      <c r="O256" s="297"/>
      <c r="P256" t="str">
        <f t="shared" si="11"/>
        <v>"Éclair vivant": {
  "Name" : "Éclair vivant",
  "VO" : "Living Lightning Bolt",
  "Family" : "ARTIFICIAL_CREATURE",
  "Species" : [""],
  "FP" : "5", 
  "Size" : "G",
  "AC" : 15,
  "HP" : 57, 
  "Speed" : "vol",
  "Alignments" : [],
  "Legendary" : ""}</v>
      </c>
    </row>
    <row r="257" spans="1:16">
      <c r="A257" s="61" t="s">
        <v>4583</v>
      </c>
      <c r="B257" s="298" t="s">
        <v>4584</v>
      </c>
      <c r="C257" s="306" t="s">
        <v>5620</v>
      </c>
      <c r="D257" s="298" t="s">
        <v>4108</v>
      </c>
      <c r="E257" s="297" t="str">
        <f t="shared" si="9"/>
        <v>Humanoïde</v>
      </c>
      <c r="F257" s="297" t="str">
        <f>VLOOKUP(E257,'Types de monstres'!$A$2:$B$17,2,FALSE)</f>
        <v>HUMANOID</v>
      </c>
      <c r="G257" s="297" t="str">
        <f t="shared" si="10"/>
        <v>toute race</v>
      </c>
      <c r="H257" s="297" t="str">
        <f>IF(OR(G257="",G257="toute race"),"",VLOOKUP(G257,'Types de monstres'!$F$2:$G$49,2,FALSE))</f>
        <v/>
      </c>
      <c r="I257" s="298" t="s">
        <v>4091</v>
      </c>
      <c r="J257" s="300">
        <v>13</v>
      </c>
      <c r="K257" s="300">
        <v>16</v>
      </c>
      <c r="L257" s="298"/>
      <c r="M257" s="298" t="s">
        <v>4109</v>
      </c>
      <c r="N257" s="297" t="str">
        <f>IF(M257="sans alignement","",IF(M257="tout alignement", """1_LB"", ""2_NB"", ""3_CB"", ""4_LN"", ""5_NN"", ""6_CN"", ""7_LM"", ""8_NM"", ""9_CM""",IF(M257="tout alignement non bon", """4_LN"", ""5_NN"", ""6_CN"", ""7_LM"", ""8_NM"", ""9_CM""",IF(M257="tout alignement mauvais", """7_LM"", ""8_NM"", ""9_CM""",IF(M257="tout alignement chaotique", """3_CB"", ""6_CN"", ""9_CM""",IF(M257="tout alignement non loyal", """2_NB"", ""3_CB"", ""5_NN"", ""6_CN"", ""8_NM"", ""9_CM""",""""&amp;VLOOKUP(M257,Alignements!$A$2:$B$10,2, FALSE)&amp;""""))))))</f>
        <v>"1_LB", "2_NB", "3_CB", "4_LN", "5_NN", "6_CN", "7_LM", "8_NM", "9_CM"</v>
      </c>
      <c r="O257" s="298"/>
      <c r="P257" t="str">
        <f t="shared" si="11"/>
        <v>"Éclaireur": {
  "Name" : "Éclaireur",
  "VO" : "Scout",
  "Family" : "HUMANOID",
  "Species" : [""],
  "FP" : "1/2", 
  "Size" : "M",
  "AC" : 13,
  "HP" : 16, 
  "Speed" : "",
  "Alignments" : ["1_LB", "2_NB", "3_CB", "4_LN", "5_NN", "6_CN", "7_LM", "8_NM", "9_CM"],
  "Legendary" : ""}</v>
      </c>
    </row>
    <row r="258" spans="1:16">
      <c r="A258" s="61" t="s">
        <v>4585</v>
      </c>
      <c r="B258" s="297" t="s">
        <v>4586</v>
      </c>
      <c r="C258" s="305">
        <v>11</v>
      </c>
      <c r="D258" s="297" t="s">
        <v>4189</v>
      </c>
      <c r="E258" s="297" t="str">
        <f t="shared" si="9"/>
        <v>Élémentaire</v>
      </c>
      <c r="F258" s="297" t="str">
        <f>VLOOKUP(E258,'Types de monstres'!$A$2:$B$17,2,FALSE)</f>
        <v>ELEMENTARY</v>
      </c>
      <c r="G258" s="297" t="str">
        <f t="shared" si="10"/>
        <v/>
      </c>
      <c r="H258" s="297" t="str">
        <f>IF(OR(G258="",G258="toute race"),"",VLOOKUP(G258,'Types de monstres'!$F$2:$G$49,2,FALSE))</f>
        <v/>
      </c>
      <c r="I258" s="297" t="s">
        <v>4112</v>
      </c>
      <c r="J258" s="302">
        <v>17</v>
      </c>
      <c r="K258" s="302">
        <v>200</v>
      </c>
      <c r="L258" s="297" t="s">
        <v>4092</v>
      </c>
      <c r="M258" s="297" t="s">
        <v>4097</v>
      </c>
      <c r="N258" s="297" t="str">
        <f>IF(M258="sans alignement","",IF(M258="tout alignement", """1_LB"", ""2_NB"", ""3_CB"", ""4_LN"", ""5_NN"", ""6_CN"", ""7_LM"", ""8_NM"", ""9_CM""",IF(M258="tout alignement non bon", """4_LN"", ""5_NN"", ""6_CN"", ""7_LM"", ""8_NM"", ""9_CM""",IF(M258="tout alignement mauvais", """7_LM"", ""8_NM"", ""9_CM""",IF(M258="tout alignement chaotique", """3_CB"", ""6_CN"", ""9_CM""",IF(M258="tout alignement non loyal", """2_NB"", ""3_CB"", ""5_NN"", ""6_CN"", ""8_NM"", ""9_CM""",""""&amp;VLOOKUP(M258,Alignements!$A$2:$B$10,2, FALSE)&amp;""""))))))</f>
        <v>"7_LM"</v>
      </c>
      <c r="O258" s="297"/>
      <c r="P258" t="str">
        <f t="shared" si="11"/>
        <v>"Éfrit": {
  "Name" : "Éfrit",
  "VO" : "Efreeti",
  "Family" : "ELEMENTARY",
  "Species" : [""],
  "FP" : "11", 
  "Size" : "G",
  "AC" : 17,
  "HP" : 200, 
  "Speed" : "vol",
  "Alignments" : ["7_LM"],
  "Legendary" : ""}</v>
      </c>
    </row>
    <row r="259" spans="1:16">
      <c r="A259" s="61" t="s">
        <v>4587</v>
      </c>
      <c r="B259" s="298" t="s">
        <v>4587</v>
      </c>
      <c r="C259" s="306">
        <v>12</v>
      </c>
      <c r="D259" s="298" t="s">
        <v>4117</v>
      </c>
      <c r="E259" s="297" t="str">
        <f t="shared" ref="E259:E322" si="12">IF(ISERROR( FIND("(",D259) ),D259,LEFT(D259, FIND("(",D259)-2))</f>
        <v>Mort-vivant</v>
      </c>
      <c r="F259" s="297" t="str">
        <f>VLOOKUP(E259,'Types de monstres'!$A$2:$B$17,2,FALSE)</f>
        <v>UNDEAD</v>
      </c>
      <c r="G259" s="297" t="str">
        <f t="shared" ref="G259:G322" si="13">IF(ISERROR( FIND("(",D259) ),"",RIGHT(LEFT(D259,LEN(D259)-1), LEN(D259)-FIND("(",D259)-1))</f>
        <v/>
      </c>
      <c r="H259" s="297" t="str">
        <f>IF(OR(G259="",G259="toute race"),"",VLOOKUP(G259,'Types de monstres'!$F$2:$G$49,2,FALSE))</f>
        <v/>
      </c>
      <c r="I259" s="298" t="s">
        <v>4091</v>
      </c>
      <c r="J259" s="300">
        <v>9</v>
      </c>
      <c r="K259" s="300">
        <v>63</v>
      </c>
      <c r="L259" s="298" t="s">
        <v>4092</v>
      </c>
      <c r="M259" s="298" t="s">
        <v>4109</v>
      </c>
      <c r="N259" s="297" t="str">
        <f>IF(M259="sans alignement","",IF(M259="tout alignement", """1_LB"", ""2_NB"", ""3_CB"", ""4_LN"", ""5_NN"", ""6_CN"", ""7_LM"", ""8_NM"", ""9_CM""",IF(M259="tout alignement non bon", """4_LN"", ""5_NN"", ""6_CN"", ""7_LM"", ""8_NM"", ""9_CM""",IF(M259="tout alignement mauvais", """7_LM"", ""8_NM"", ""9_CM""",IF(M259="tout alignement chaotique", """3_CB"", ""6_CN"", ""9_CM""",IF(M259="tout alignement non loyal", """2_NB"", ""3_CB"", ""5_NN"", ""6_CN"", ""8_NM"", ""9_CM""",""""&amp;VLOOKUP(M259,Alignements!$A$2:$B$10,2, FALSE)&amp;""""))))))</f>
        <v>"1_LB", "2_NB", "3_CB", "4_LN", "5_NN", "6_CN", "7_LM", "8_NM", "9_CM"</v>
      </c>
      <c r="O259" s="298"/>
      <c r="P259" t="str">
        <f t="shared" ref="P259:P322" si="14">""""&amp;A259&amp;""": {
  ""Name"" : """&amp;A259&amp;""",
  ""VO"" : """&amp;B259&amp;""",
  ""Family"" : """&amp;F259&amp;""",
  ""Species"" : ["""&amp;SUBSTITUTE(H259,", ",""", """)&amp;"""],
  ""FP"" : """&amp;SUBSTITUTE(C259,"""","")&amp;""", 
  ""Size"" : """&amp;I259&amp;""",
  ""AC"" : "&amp;J259&amp;",
  ""HP"" : "&amp;K259&amp;", 
  ""Speed"" : """&amp;L259&amp;""",
  ""Alignments"" : ["&amp;N259&amp;"],
  ""Legendary"" : """&amp;O259&amp;"""}"</f>
        <v>"Eidolon": {
  "Name" : "Eidolon",
  "VO" : "Eidolon",
  "Family" : "UNDEAD",
  "Species" : [""],
  "FP" : "12", 
  "Size" : "M",
  "AC" : 9,
  "HP" : 63, 
  "Speed" : "vol",
  "Alignments" : ["1_LB", "2_NB", "3_CB", "4_LN", "5_NN", "6_CN", "7_LM", "8_NM", "9_CM"],
  "Legendary" : ""}</v>
      </c>
    </row>
    <row r="260" spans="1:16">
      <c r="A260" s="301" t="s">
        <v>4588</v>
      </c>
      <c r="B260" s="297" t="s">
        <v>4589</v>
      </c>
      <c r="C260" s="305">
        <v>10</v>
      </c>
      <c r="D260" s="297" t="s">
        <v>4590</v>
      </c>
      <c r="E260" s="297" t="str">
        <f t="shared" si="12"/>
        <v>Fée</v>
      </c>
      <c r="F260" s="297" t="str">
        <f>VLOOKUP(E260,'Types de monstres'!$A$2:$B$17,2,FALSE)</f>
        <v>FAIRY</v>
      </c>
      <c r="G260" s="297" t="str">
        <f t="shared" si="13"/>
        <v>elfe</v>
      </c>
      <c r="H260" s="297" t="str">
        <f>IF(OR(G260="",G260="toute race"),"",VLOOKUP(G260,'Types de monstres'!$F$2:$G$49,2,FALSE))</f>
        <v>ELF</v>
      </c>
      <c r="I260" s="297" t="s">
        <v>4091</v>
      </c>
      <c r="J260" s="302">
        <v>19</v>
      </c>
      <c r="K260" s="302">
        <v>127</v>
      </c>
      <c r="L260" s="297"/>
      <c r="M260" s="297" t="s">
        <v>4243</v>
      </c>
      <c r="N260" s="297" t="str">
        <f>IF(M260="sans alignement","",IF(M260="tout alignement", """1_LB"", ""2_NB"", ""3_CB"", ""4_LN"", ""5_NN"", ""6_CN"", ""7_LM"", ""8_NM"", ""9_CM""",IF(M260="tout alignement non bon", """4_LN"", ""5_NN"", ""6_CN"", ""7_LM"", ""8_NM"", ""9_CM""",IF(M260="tout alignement mauvais", """7_LM"", ""8_NM"", ""9_CM""",IF(M260="tout alignement chaotique", """3_CB"", ""6_CN"", ""9_CM""",IF(M260="tout alignement non loyal", """2_NB"", ""3_CB"", ""5_NN"", ""6_CN"", ""8_NM"", ""9_CM""",""""&amp;VLOOKUP(M260,Alignements!$A$2:$B$10,2, FALSE)&amp;""""))))))</f>
        <v>"6_CN"</v>
      </c>
      <c r="O260" s="297"/>
      <c r="P260" t="str">
        <f t="shared" si="14"/>
        <v>"Éladrin d'automne": {
  "Name" : "Éladrin d'automne",
  "VO" : "Autumn Eladrin",
  "Family" : "FAIRY",
  "Species" : ["ELF"],
  "FP" : "10", 
  "Size" : "M",
  "AC" : 19,
  "HP" : 127, 
  "Speed" : "",
  "Alignments" : ["6_CN"],
  "Legendary" : ""}</v>
      </c>
    </row>
    <row r="261" spans="1:16">
      <c r="A261" s="299" t="s">
        <v>4591</v>
      </c>
      <c r="B261" s="298" t="s">
        <v>4592</v>
      </c>
      <c r="C261" s="306">
        <v>10</v>
      </c>
      <c r="D261" s="298" t="s">
        <v>4590</v>
      </c>
      <c r="E261" s="297" t="str">
        <f t="shared" si="12"/>
        <v>Fée</v>
      </c>
      <c r="F261" s="297" t="str">
        <f>VLOOKUP(E261,'Types de monstres'!$A$2:$B$17,2,FALSE)</f>
        <v>FAIRY</v>
      </c>
      <c r="G261" s="297" t="str">
        <f t="shared" si="13"/>
        <v>elfe</v>
      </c>
      <c r="H261" s="297" t="str">
        <f>IF(OR(G261="",G261="toute race"),"",VLOOKUP(G261,'Types de monstres'!$F$2:$G$49,2,FALSE))</f>
        <v>ELF</v>
      </c>
      <c r="I261" s="298" t="s">
        <v>4091</v>
      </c>
      <c r="J261" s="300">
        <v>19</v>
      </c>
      <c r="K261" s="300">
        <v>127</v>
      </c>
      <c r="L261" s="298"/>
      <c r="M261" s="298" t="s">
        <v>4243</v>
      </c>
      <c r="N261" s="297" t="str">
        <f>IF(M261="sans alignement","",IF(M261="tout alignement", """1_LB"", ""2_NB"", ""3_CB"", ""4_LN"", ""5_NN"", ""6_CN"", ""7_LM"", ""8_NM"", ""9_CM""",IF(M261="tout alignement non bon", """4_LN"", ""5_NN"", ""6_CN"", ""7_LM"", ""8_NM"", ""9_CM""",IF(M261="tout alignement mauvais", """7_LM"", ""8_NM"", ""9_CM""",IF(M261="tout alignement chaotique", """3_CB"", ""6_CN"", ""9_CM""",IF(M261="tout alignement non loyal", """2_NB"", ""3_CB"", ""5_NN"", ""6_CN"", ""8_NM"", ""9_CM""",""""&amp;VLOOKUP(M261,Alignements!$A$2:$B$10,2, FALSE)&amp;""""))))))</f>
        <v>"6_CN"</v>
      </c>
      <c r="O261" s="298"/>
      <c r="P261" t="str">
        <f t="shared" si="14"/>
        <v>"Éladrin d'été": {
  "Name" : "Éladrin d'été",
  "VO" : "Summer Eladrin",
  "Family" : "FAIRY",
  "Species" : ["ELF"],
  "FP" : "10", 
  "Size" : "M",
  "AC" : 19,
  "HP" : 127, 
  "Speed" : "",
  "Alignments" : ["6_CN"],
  "Legendary" : ""}</v>
      </c>
    </row>
    <row r="262" spans="1:16">
      <c r="A262" s="301" t="s">
        <v>4593</v>
      </c>
      <c r="B262" s="297" t="s">
        <v>4594</v>
      </c>
      <c r="C262" s="305">
        <v>10</v>
      </c>
      <c r="D262" s="297" t="s">
        <v>4590</v>
      </c>
      <c r="E262" s="297" t="str">
        <f t="shared" si="12"/>
        <v>Fée</v>
      </c>
      <c r="F262" s="297" t="str">
        <f>VLOOKUP(E262,'Types de monstres'!$A$2:$B$17,2,FALSE)</f>
        <v>FAIRY</v>
      </c>
      <c r="G262" s="297" t="str">
        <f t="shared" si="13"/>
        <v>elfe</v>
      </c>
      <c r="H262" s="297" t="str">
        <f>IF(OR(G262="",G262="toute race"),"",VLOOKUP(G262,'Types de monstres'!$F$2:$G$49,2,FALSE))</f>
        <v>ELF</v>
      </c>
      <c r="I262" s="297" t="s">
        <v>4091</v>
      </c>
      <c r="J262" s="302">
        <v>19</v>
      </c>
      <c r="K262" s="302">
        <v>127</v>
      </c>
      <c r="L262" s="297"/>
      <c r="M262" s="297" t="s">
        <v>4243</v>
      </c>
      <c r="N262" s="297" t="str">
        <f>IF(M262="sans alignement","",IF(M262="tout alignement", """1_LB"", ""2_NB"", ""3_CB"", ""4_LN"", ""5_NN"", ""6_CN"", ""7_LM"", ""8_NM"", ""9_CM""",IF(M262="tout alignement non bon", """4_LN"", ""5_NN"", ""6_CN"", ""7_LM"", ""8_NM"", ""9_CM""",IF(M262="tout alignement mauvais", """7_LM"", ""8_NM"", ""9_CM""",IF(M262="tout alignement chaotique", """3_CB"", ""6_CN"", ""9_CM""",IF(M262="tout alignement non loyal", """2_NB"", ""3_CB"", ""5_NN"", ""6_CN"", ""8_NM"", ""9_CM""",""""&amp;VLOOKUP(M262,Alignements!$A$2:$B$10,2, FALSE)&amp;""""))))))</f>
        <v>"6_CN"</v>
      </c>
      <c r="O262" s="297"/>
      <c r="P262" t="str">
        <f t="shared" si="14"/>
        <v>"Éladrin d'hiver": {
  "Name" : "Éladrin d'hiver",
  "VO" : "Winter Eladrin",
  "Family" : "FAIRY",
  "Species" : ["ELF"],
  "FP" : "10", 
  "Size" : "M",
  "AC" : 19,
  "HP" : 127, 
  "Speed" : "",
  "Alignments" : ["6_CN"],
  "Legendary" : ""}</v>
      </c>
    </row>
    <row r="263" spans="1:16" ht="21">
      <c r="A263" s="299" t="s">
        <v>4595</v>
      </c>
      <c r="B263" s="298" t="s">
        <v>4596</v>
      </c>
      <c r="C263" s="306">
        <v>10</v>
      </c>
      <c r="D263" s="298" t="s">
        <v>4590</v>
      </c>
      <c r="E263" s="297" t="str">
        <f t="shared" si="12"/>
        <v>Fée</v>
      </c>
      <c r="F263" s="297" t="str">
        <f>VLOOKUP(E263,'Types de monstres'!$A$2:$B$17,2,FALSE)</f>
        <v>FAIRY</v>
      </c>
      <c r="G263" s="297" t="str">
        <f t="shared" si="13"/>
        <v>elfe</v>
      </c>
      <c r="H263" s="297" t="str">
        <f>IF(OR(G263="",G263="toute race"),"",VLOOKUP(G263,'Types de monstres'!$F$2:$G$49,2,FALSE))</f>
        <v>ELF</v>
      </c>
      <c r="I263" s="298" t="s">
        <v>4091</v>
      </c>
      <c r="J263" s="300">
        <v>19</v>
      </c>
      <c r="K263" s="300">
        <v>127</v>
      </c>
      <c r="L263" s="298"/>
      <c r="M263" s="298" t="s">
        <v>4243</v>
      </c>
      <c r="N263" s="297" t="str">
        <f>IF(M263="sans alignement","",IF(M263="tout alignement", """1_LB"", ""2_NB"", ""3_CB"", ""4_LN"", ""5_NN"", ""6_CN"", ""7_LM"", ""8_NM"", ""9_CM""",IF(M263="tout alignement non bon", """4_LN"", ""5_NN"", ""6_CN"", ""7_LM"", ""8_NM"", ""9_CM""",IF(M263="tout alignement mauvais", """7_LM"", ""8_NM"", ""9_CM""",IF(M263="tout alignement chaotique", """3_CB"", ""6_CN"", ""9_CM""",IF(M263="tout alignement non loyal", """2_NB"", ""3_CB"", ""5_NN"", ""6_CN"", ""8_NM"", ""9_CM""",""""&amp;VLOOKUP(M263,Alignements!$A$2:$B$10,2, FALSE)&amp;""""))))))</f>
        <v>"6_CN"</v>
      </c>
      <c r="O263" s="298"/>
      <c r="P263" t="str">
        <f t="shared" si="14"/>
        <v>"Éladrin de printemps": {
  "Name" : "Éladrin de printemps",
  "VO" : "Spring Eladrin",
  "Family" : "FAIRY",
  "Species" : ["ELF"],
  "FP" : "10", 
  "Size" : "M",
  "AC" : 19,
  "HP" : 127, 
  "Speed" : "",
  "Alignments" : ["6_CN"],
  "Legendary" : ""}</v>
      </c>
    </row>
    <row r="264" spans="1:16">
      <c r="A264" s="61" t="s">
        <v>4597</v>
      </c>
      <c r="B264" s="297" t="s">
        <v>4598</v>
      </c>
      <c r="C264" s="305" t="s">
        <v>5618</v>
      </c>
      <c r="D264" s="297" t="s">
        <v>4128</v>
      </c>
      <c r="E264" s="297" t="str">
        <f t="shared" si="12"/>
        <v>Bête</v>
      </c>
      <c r="F264" s="297" t="str">
        <f>VLOOKUP(E264,'Types de monstres'!$A$2:$B$17,2,FALSE)</f>
        <v>BEAST</v>
      </c>
      <c r="G264" s="297" t="str">
        <f t="shared" si="13"/>
        <v/>
      </c>
      <c r="H264" s="297" t="str">
        <f>IF(OR(G264="",G264="toute race"),"",VLOOKUP(G264,'Types de monstres'!$F$2:$G$49,2,FALSE))</f>
        <v/>
      </c>
      <c r="I264" s="297" t="s">
        <v>4112</v>
      </c>
      <c r="J264" s="302">
        <v>10</v>
      </c>
      <c r="K264" s="302">
        <v>13</v>
      </c>
      <c r="L264" s="297"/>
      <c r="M264" s="297" t="s">
        <v>4130</v>
      </c>
      <c r="N264" s="297" t="str">
        <f>IF(M264="sans alignement","",IF(M264="tout alignement", """1_LB"", ""2_NB"", ""3_CB"", ""4_LN"", ""5_NN"", ""6_CN"", ""7_LM"", ""8_NM"", ""9_CM""",IF(M264="tout alignement non bon", """4_LN"", ""5_NN"", ""6_CN"", ""7_LM"", ""8_NM"", ""9_CM""",IF(M264="tout alignement mauvais", """7_LM"", ""8_NM"", ""9_CM""",IF(M264="tout alignement chaotique", """3_CB"", ""6_CN"", ""9_CM""",IF(M264="tout alignement non loyal", """2_NB"", ""3_CB"", ""5_NN"", ""6_CN"", ""8_NM"", ""9_CM""",""""&amp;VLOOKUP(M264,Alignements!$A$2:$B$10,2, FALSE)&amp;""""))))))</f>
        <v/>
      </c>
      <c r="O264" s="297"/>
      <c r="P264" t="str">
        <f t="shared" si="14"/>
        <v>"Élan": {
  "Name" : "Élan",
  "VO" : "Elk",
  "Family" : "BEAST",
  "Species" : [""],
  "FP" : "1/4", 
  "Size" : "G",
  "AC" : 10,
  "HP" : 13, 
  "Speed" : "",
  "Alignments" : [],
  "Legendary" : ""}</v>
      </c>
    </row>
    <row r="265" spans="1:16">
      <c r="A265" s="61" t="s">
        <v>4599</v>
      </c>
      <c r="B265" s="298" t="s">
        <v>4600</v>
      </c>
      <c r="C265" s="306">
        <v>2</v>
      </c>
      <c r="D265" s="298" t="s">
        <v>4128</v>
      </c>
      <c r="E265" s="297" t="str">
        <f t="shared" si="12"/>
        <v>Bête</v>
      </c>
      <c r="F265" s="297" t="str">
        <f>VLOOKUP(E265,'Types de monstres'!$A$2:$B$17,2,FALSE)</f>
        <v>BEAST</v>
      </c>
      <c r="G265" s="297" t="str">
        <f t="shared" si="13"/>
        <v/>
      </c>
      <c r="H265" s="297" t="str">
        <f>IF(OR(G265="",G265="toute race"),"",VLOOKUP(G265,'Types de monstres'!$F$2:$G$49,2,FALSE))</f>
        <v/>
      </c>
      <c r="I265" s="298" t="s">
        <v>4149</v>
      </c>
      <c r="J265" s="300">
        <v>14</v>
      </c>
      <c r="K265" s="300">
        <v>42</v>
      </c>
      <c r="L265" s="298"/>
      <c r="M265" s="298" t="s">
        <v>4130</v>
      </c>
      <c r="N265" s="297" t="str">
        <f>IF(M265="sans alignement","",IF(M265="tout alignement", """1_LB"", ""2_NB"", ""3_CB"", ""4_LN"", ""5_NN"", ""6_CN"", ""7_LM"", ""8_NM"", ""9_CM""",IF(M265="tout alignement non bon", """4_LN"", ""5_NN"", ""6_CN"", ""7_LM"", ""8_NM"", ""9_CM""",IF(M265="tout alignement mauvais", """7_LM"", ""8_NM"", ""9_CM""",IF(M265="tout alignement chaotique", """3_CB"", ""6_CN"", ""9_CM""",IF(M265="tout alignement non loyal", """2_NB"", ""3_CB"", ""5_NN"", ""6_CN"", ""8_NM"", ""9_CM""",""""&amp;VLOOKUP(M265,Alignements!$A$2:$B$10,2, FALSE)&amp;""""))))))</f>
        <v/>
      </c>
      <c r="O265" s="298"/>
      <c r="P265" t="str">
        <f t="shared" si="14"/>
        <v>"Élan géant": {
  "Name" : "Élan géant",
  "VO" : "Giant Elk",
  "Family" : "BEAST",
  "Species" : [""],
  "FP" : "2", 
  "Size" : "TG",
  "AC" : 14,
  "HP" : 42, 
  "Speed" : "",
  "Alignments" : [],
  "Legendary" : ""}</v>
      </c>
    </row>
    <row r="266" spans="1:16">
      <c r="A266" s="61" t="s">
        <v>4601</v>
      </c>
      <c r="B266" s="297" t="s">
        <v>4602</v>
      </c>
      <c r="C266" s="305">
        <v>5</v>
      </c>
      <c r="D266" s="297" t="s">
        <v>4189</v>
      </c>
      <c r="E266" s="297" t="str">
        <f t="shared" si="12"/>
        <v>Élémentaire</v>
      </c>
      <c r="F266" s="297" t="str">
        <f>VLOOKUP(E266,'Types de monstres'!$A$2:$B$17,2,FALSE)</f>
        <v>ELEMENTARY</v>
      </c>
      <c r="G266" s="297" t="str">
        <f t="shared" si="13"/>
        <v/>
      </c>
      <c r="H266" s="297" t="str">
        <f>IF(OR(G266="",G266="toute race"),"",VLOOKUP(G266,'Types de monstres'!$F$2:$G$49,2,FALSE))</f>
        <v/>
      </c>
      <c r="I266" s="297" t="s">
        <v>4112</v>
      </c>
      <c r="J266" s="302">
        <v>15</v>
      </c>
      <c r="K266" s="302">
        <v>90</v>
      </c>
      <c r="L266" s="297" t="s">
        <v>4092</v>
      </c>
      <c r="M266" s="297" t="s">
        <v>4193</v>
      </c>
      <c r="N266" s="297" t="str">
        <f>IF(M266="sans alignement","",IF(M266="tout alignement", """1_LB"", ""2_NB"", ""3_CB"", ""4_LN"", ""5_NN"", ""6_CN"", ""7_LM"", ""8_NM"", ""9_CM""",IF(M266="tout alignement non bon", """4_LN"", ""5_NN"", ""6_CN"", ""7_LM"", ""8_NM"", ""9_CM""",IF(M266="tout alignement mauvais", """7_LM"", ""8_NM"", ""9_CM""",IF(M266="tout alignement chaotique", """3_CB"", ""6_CN"", ""9_CM""",IF(M266="tout alignement non loyal", """2_NB"", ""3_CB"", ""5_NN"", ""6_CN"", ""8_NM"", ""9_CM""",""""&amp;VLOOKUP(M266,Alignements!$A$2:$B$10,2, FALSE)&amp;""""))))))</f>
        <v>"5_NN"</v>
      </c>
      <c r="O266" s="297"/>
      <c r="P266" t="str">
        <f t="shared" si="14"/>
        <v>"Élémentaire de l'air": {
  "Name" : "Élémentaire de l'air",
  "VO" : "Air Elemental",
  "Family" : "ELEMENTARY",
  "Species" : [""],
  "FP" : "5", 
  "Size" : "G",
  "AC" : 15,
  "HP" : 90, 
  "Speed" : "vol",
  "Alignments" : ["5_NN"],
  "Legendary" : ""}</v>
      </c>
    </row>
    <row r="267" spans="1:16" ht="21">
      <c r="A267" s="299" t="s">
        <v>4603</v>
      </c>
      <c r="B267" s="298" t="s">
        <v>4604</v>
      </c>
      <c r="C267" s="306">
        <v>7</v>
      </c>
      <c r="D267" s="298" t="s">
        <v>4189</v>
      </c>
      <c r="E267" s="297" t="str">
        <f t="shared" si="12"/>
        <v>Élémentaire</v>
      </c>
      <c r="F267" s="297" t="str">
        <f>VLOOKUP(E267,'Types de monstres'!$A$2:$B$17,2,FALSE)</f>
        <v>ELEMENTARY</v>
      </c>
      <c r="G267" s="297" t="str">
        <f t="shared" si="13"/>
        <v/>
      </c>
      <c r="H267" s="297" t="str">
        <f>IF(OR(G267="",G267="toute race"),"",VLOOKUP(G267,'Types de monstres'!$F$2:$G$49,2,FALSE))</f>
        <v/>
      </c>
      <c r="I267" s="298" t="s">
        <v>4091</v>
      </c>
      <c r="J267" s="300">
        <v>18</v>
      </c>
      <c r="K267" s="300">
        <v>117</v>
      </c>
      <c r="L267" s="298" t="s">
        <v>4092</v>
      </c>
      <c r="M267" s="298" t="s">
        <v>4193</v>
      </c>
      <c r="N267" s="297" t="str">
        <f>IF(M267="sans alignement","",IF(M267="tout alignement", """1_LB"", ""2_NB"", ""3_CB"", ""4_LN"", ""5_NN"", ""6_CN"", ""7_LM"", ""8_NM"", ""9_CM""",IF(M267="tout alignement non bon", """4_LN"", ""5_NN"", ""6_CN"", ""7_LM"", ""8_NM"", ""9_CM""",IF(M267="tout alignement mauvais", """7_LM"", ""8_NM"", ""9_CM""",IF(M267="tout alignement chaotique", """3_CB"", ""6_CN"", ""9_CM""",IF(M267="tout alignement non loyal", """2_NB"", ""3_CB"", ""5_NN"", ""6_CN"", ""8_NM"", ""9_CM""",""""&amp;VLOOKUP(M267,Alignements!$A$2:$B$10,2, FALSE)&amp;""""))))))</f>
        <v>"5_NN"</v>
      </c>
      <c r="O267" s="298"/>
      <c r="P267" t="str">
        <f t="shared" si="14"/>
        <v>"Élémentaire de l'air, myrmidon": {
  "Name" : "Élémentaire de l'air, myrmidon",
  "VO" : "Air Elemental Myrmidon",
  "Family" : "ELEMENTARY",
  "Species" : [""],
  "FP" : "7", 
  "Size" : "M",
  "AC" : 18,
  "HP" : 117, 
  "Speed" : "vol",
  "Alignments" : ["5_NN"],
  "Legendary" : ""}</v>
      </c>
    </row>
    <row r="268" spans="1:16">
      <c r="A268" s="61" t="s">
        <v>4605</v>
      </c>
      <c r="B268" s="297" t="s">
        <v>4606</v>
      </c>
      <c r="C268" s="305">
        <v>5</v>
      </c>
      <c r="D268" s="297" t="s">
        <v>4189</v>
      </c>
      <c r="E268" s="297" t="str">
        <f t="shared" si="12"/>
        <v>Élémentaire</v>
      </c>
      <c r="F268" s="297" t="str">
        <f>VLOOKUP(E268,'Types de monstres'!$A$2:$B$17,2,FALSE)</f>
        <v>ELEMENTARY</v>
      </c>
      <c r="G268" s="297" t="str">
        <f t="shared" si="13"/>
        <v/>
      </c>
      <c r="H268" s="297" t="str">
        <f>IF(OR(G268="",G268="toute race"),"",VLOOKUP(G268,'Types de monstres'!$F$2:$G$49,2,FALSE))</f>
        <v/>
      </c>
      <c r="I268" s="297" t="s">
        <v>4112</v>
      </c>
      <c r="J268" s="302">
        <v>14</v>
      </c>
      <c r="K268" s="302">
        <v>114</v>
      </c>
      <c r="L268" s="297" t="s">
        <v>4113</v>
      </c>
      <c r="M268" s="297" t="s">
        <v>4193</v>
      </c>
      <c r="N268" s="297" t="str">
        <f>IF(M268="sans alignement","",IF(M268="tout alignement", """1_LB"", ""2_NB"", ""3_CB"", ""4_LN"", ""5_NN"", ""6_CN"", ""7_LM"", ""8_NM"", ""9_CM""",IF(M268="tout alignement non bon", """4_LN"", ""5_NN"", ""6_CN"", ""7_LM"", ""8_NM"", ""9_CM""",IF(M268="tout alignement mauvais", """7_LM"", ""8_NM"", ""9_CM""",IF(M268="tout alignement chaotique", """3_CB"", ""6_CN"", ""9_CM""",IF(M268="tout alignement non loyal", """2_NB"", ""3_CB"", ""5_NN"", ""6_CN"", ""8_NM"", ""9_CM""",""""&amp;VLOOKUP(M268,Alignements!$A$2:$B$10,2, FALSE)&amp;""""))))))</f>
        <v>"5_NN"</v>
      </c>
      <c r="O268" s="297"/>
      <c r="P268" t="str">
        <f t="shared" si="14"/>
        <v>"Élémentaire de l'eau": {
  "Name" : "Élémentaire de l'eau",
  "VO" : "Water Elemental",
  "Family" : "ELEMENTARY",
  "Species" : [""],
  "FP" : "5", 
  "Size" : "G",
  "AC" : 14,
  "HP" : 114, 
  "Speed" : "nage",
  "Alignments" : ["5_NN"],
  "Legendary" : ""}</v>
      </c>
    </row>
    <row r="269" spans="1:16" ht="21">
      <c r="A269" s="299" t="s">
        <v>4607</v>
      </c>
      <c r="B269" s="298" t="s">
        <v>4608</v>
      </c>
      <c r="C269" s="306">
        <v>7</v>
      </c>
      <c r="D269" s="298" t="s">
        <v>4189</v>
      </c>
      <c r="E269" s="297" t="str">
        <f t="shared" si="12"/>
        <v>Élémentaire</v>
      </c>
      <c r="F269" s="297" t="str">
        <f>VLOOKUP(E269,'Types de monstres'!$A$2:$B$17,2,FALSE)</f>
        <v>ELEMENTARY</v>
      </c>
      <c r="G269" s="297" t="str">
        <f t="shared" si="13"/>
        <v/>
      </c>
      <c r="H269" s="297" t="str">
        <f>IF(OR(G269="",G269="toute race"),"",VLOOKUP(G269,'Types de monstres'!$F$2:$G$49,2,FALSE))</f>
        <v/>
      </c>
      <c r="I269" s="298" t="s">
        <v>4091</v>
      </c>
      <c r="J269" s="300">
        <v>18</v>
      </c>
      <c r="K269" s="300">
        <v>127</v>
      </c>
      <c r="L269" s="298" t="s">
        <v>4113</v>
      </c>
      <c r="M269" s="298" t="s">
        <v>4193</v>
      </c>
      <c r="N269" s="297" t="str">
        <f>IF(M269="sans alignement","",IF(M269="tout alignement", """1_LB"", ""2_NB"", ""3_CB"", ""4_LN"", ""5_NN"", ""6_CN"", ""7_LM"", ""8_NM"", ""9_CM""",IF(M269="tout alignement non bon", """4_LN"", ""5_NN"", ""6_CN"", ""7_LM"", ""8_NM"", ""9_CM""",IF(M269="tout alignement mauvais", """7_LM"", ""8_NM"", ""9_CM""",IF(M269="tout alignement chaotique", """3_CB"", ""6_CN"", ""9_CM""",IF(M269="tout alignement non loyal", """2_NB"", ""3_CB"", ""5_NN"", ""6_CN"", ""8_NM"", ""9_CM""",""""&amp;VLOOKUP(M269,Alignements!$A$2:$B$10,2, FALSE)&amp;""""))))))</f>
        <v>"5_NN"</v>
      </c>
      <c r="O269" s="298"/>
      <c r="P269" t="str">
        <f t="shared" si="14"/>
        <v>"Élémentaire de l'eau, myrmidon": {
  "Name" : "Élémentaire de l'eau, myrmidon",
  "VO" : "Water Elemental Myrmidon",
  "Family" : "ELEMENTARY",
  "Species" : [""],
  "FP" : "7", 
  "Size" : "M",
  "AC" : 18,
  "HP" : 127, 
  "Speed" : "nage",
  "Alignments" : ["5_NN"],
  "Legendary" : ""}</v>
      </c>
    </row>
    <row r="270" spans="1:16">
      <c r="A270" s="61" t="s">
        <v>4609</v>
      </c>
      <c r="B270" s="297" t="s">
        <v>4610</v>
      </c>
      <c r="C270" s="305">
        <v>5</v>
      </c>
      <c r="D270" s="297" t="s">
        <v>4189</v>
      </c>
      <c r="E270" s="297" t="str">
        <f t="shared" si="12"/>
        <v>Élémentaire</v>
      </c>
      <c r="F270" s="297" t="str">
        <f>VLOOKUP(E270,'Types de monstres'!$A$2:$B$17,2,FALSE)</f>
        <v>ELEMENTARY</v>
      </c>
      <c r="G270" s="297" t="str">
        <f t="shared" si="13"/>
        <v/>
      </c>
      <c r="H270" s="297" t="str">
        <f>IF(OR(G270="",G270="toute race"),"",VLOOKUP(G270,'Types de monstres'!$F$2:$G$49,2,FALSE))</f>
        <v/>
      </c>
      <c r="I270" s="297" t="s">
        <v>4112</v>
      </c>
      <c r="J270" s="302">
        <v>17</v>
      </c>
      <c r="K270" s="302">
        <v>126</v>
      </c>
      <c r="L270" s="297"/>
      <c r="M270" s="297" t="s">
        <v>4193</v>
      </c>
      <c r="N270" s="297" t="str">
        <f>IF(M270="sans alignement","",IF(M270="tout alignement", """1_LB"", ""2_NB"", ""3_CB"", ""4_LN"", ""5_NN"", ""6_CN"", ""7_LM"", ""8_NM"", ""9_CM""",IF(M270="tout alignement non bon", """4_LN"", ""5_NN"", ""6_CN"", ""7_LM"", ""8_NM"", ""9_CM""",IF(M270="tout alignement mauvais", """7_LM"", ""8_NM"", ""9_CM""",IF(M270="tout alignement chaotique", """3_CB"", ""6_CN"", ""9_CM""",IF(M270="tout alignement non loyal", """2_NB"", ""3_CB"", ""5_NN"", ""6_CN"", ""8_NM"", ""9_CM""",""""&amp;VLOOKUP(M270,Alignements!$A$2:$B$10,2, FALSE)&amp;""""))))))</f>
        <v>"5_NN"</v>
      </c>
      <c r="O270" s="297"/>
      <c r="P270" t="str">
        <f t="shared" si="14"/>
        <v>"Élémentaire de la terre": {
  "Name" : "Élémentaire de la terre",
  "VO" : "Earth Elemental",
  "Family" : "ELEMENTARY",
  "Species" : [""],
  "FP" : "5", 
  "Size" : "G",
  "AC" : 17,
  "HP" : 126, 
  "Speed" : "",
  "Alignments" : ["5_NN"],
  "Legendary" : ""}</v>
      </c>
    </row>
    <row r="271" spans="1:16" ht="21">
      <c r="A271" s="299" t="s">
        <v>4611</v>
      </c>
      <c r="B271" s="298" t="s">
        <v>4612</v>
      </c>
      <c r="C271" s="306">
        <v>7</v>
      </c>
      <c r="D271" s="298" t="s">
        <v>4189</v>
      </c>
      <c r="E271" s="297" t="str">
        <f t="shared" si="12"/>
        <v>Élémentaire</v>
      </c>
      <c r="F271" s="297" t="str">
        <f>VLOOKUP(E271,'Types de monstres'!$A$2:$B$17,2,FALSE)</f>
        <v>ELEMENTARY</v>
      </c>
      <c r="G271" s="297" t="str">
        <f t="shared" si="13"/>
        <v/>
      </c>
      <c r="H271" s="297" t="str">
        <f>IF(OR(G271="",G271="toute race"),"",VLOOKUP(G271,'Types de monstres'!$F$2:$G$49,2,FALSE))</f>
        <v/>
      </c>
      <c r="I271" s="298" t="s">
        <v>4091</v>
      </c>
      <c r="J271" s="300">
        <v>18</v>
      </c>
      <c r="K271" s="300">
        <v>127</v>
      </c>
      <c r="L271" s="298"/>
      <c r="M271" s="298" t="s">
        <v>4193</v>
      </c>
      <c r="N271" s="297" t="str">
        <f>IF(M271="sans alignement","",IF(M271="tout alignement", """1_LB"", ""2_NB"", ""3_CB"", ""4_LN"", ""5_NN"", ""6_CN"", ""7_LM"", ""8_NM"", ""9_CM""",IF(M271="tout alignement non bon", """4_LN"", ""5_NN"", ""6_CN"", ""7_LM"", ""8_NM"", ""9_CM""",IF(M271="tout alignement mauvais", """7_LM"", ""8_NM"", ""9_CM""",IF(M271="tout alignement chaotique", """3_CB"", ""6_CN"", ""9_CM""",IF(M271="tout alignement non loyal", """2_NB"", ""3_CB"", ""5_NN"", ""6_CN"", ""8_NM"", ""9_CM""",""""&amp;VLOOKUP(M271,Alignements!$A$2:$B$10,2, FALSE)&amp;""""))))))</f>
        <v>"5_NN"</v>
      </c>
      <c r="O271" s="298"/>
      <c r="P271" t="str">
        <f t="shared" si="14"/>
        <v>"Élémentaire de la terre, myrmidon": {
  "Name" : "Élémentaire de la terre, myrmidon",
  "VO" : "Earth Elemental Myrmidon",
  "Family" : "ELEMENTARY",
  "Species" : [""],
  "FP" : "7", 
  "Size" : "M",
  "AC" : 18,
  "HP" : 127, 
  "Speed" : "",
  "Alignments" : ["5_NN"],
  "Legendary" : ""}</v>
      </c>
    </row>
    <row r="272" spans="1:16">
      <c r="A272" s="61" t="s">
        <v>4613</v>
      </c>
      <c r="B272" s="297" t="s">
        <v>4614</v>
      </c>
      <c r="C272" s="305">
        <v>5</v>
      </c>
      <c r="D272" s="297" t="s">
        <v>4189</v>
      </c>
      <c r="E272" s="297" t="str">
        <f t="shared" si="12"/>
        <v>Élémentaire</v>
      </c>
      <c r="F272" s="297" t="str">
        <f>VLOOKUP(E272,'Types de monstres'!$A$2:$B$17,2,FALSE)</f>
        <v>ELEMENTARY</v>
      </c>
      <c r="G272" s="297" t="str">
        <f t="shared" si="13"/>
        <v/>
      </c>
      <c r="H272" s="297" t="str">
        <f>IF(OR(G272="",G272="toute race"),"",VLOOKUP(G272,'Types de monstres'!$F$2:$G$49,2,FALSE))</f>
        <v/>
      </c>
      <c r="I272" s="297" t="s">
        <v>4112</v>
      </c>
      <c r="J272" s="302">
        <v>13</v>
      </c>
      <c r="K272" s="302">
        <v>102</v>
      </c>
      <c r="L272" s="297"/>
      <c r="M272" s="297" t="s">
        <v>4193</v>
      </c>
      <c r="N272" s="297" t="str">
        <f>IF(M272="sans alignement","",IF(M272="tout alignement", """1_LB"", ""2_NB"", ""3_CB"", ""4_LN"", ""5_NN"", ""6_CN"", ""7_LM"", ""8_NM"", ""9_CM""",IF(M272="tout alignement non bon", """4_LN"", ""5_NN"", ""6_CN"", ""7_LM"", ""8_NM"", ""9_CM""",IF(M272="tout alignement mauvais", """7_LM"", ""8_NM"", ""9_CM""",IF(M272="tout alignement chaotique", """3_CB"", ""6_CN"", ""9_CM""",IF(M272="tout alignement non loyal", """2_NB"", ""3_CB"", ""5_NN"", ""6_CN"", ""8_NM"", ""9_CM""",""""&amp;VLOOKUP(M272,Alignements!$A$2:$B$10,2, FALSE)&amp;""""))))))</f>
        <v>"5_NN"</v>
      </c>
      <c r="O272" s="297"/>
      <c r="P272" t="str">
        <f t="shared" si="14"/>
        <v>"Élémentaire du feu": {
  "Name" : "Élémentaire du feu",
  "VO" : "Fire Elemental",
  "Family" : "ELEMENTARY",
  "Species" : [""],
  "FP" : "5", 
  "Size" : "G",
  "AC" : 13,
  "HP" : 102, 
  "Speed" : "",
  "Alignments" : ["5_NN"],
  "Legendary" : ""}</v>
      </c>
    </row>
    <row r="273" spans="1:16" ht="21">
      <c r="A273" s="299" t="s">
        <v>4615</v>
      </c>
      <c r="B273" s="298" t="s">
        <v>4616</v>
      </c>
      <c r="C273" s="306">
        <v>7</v>
      </c>
      <c r="D273" s="298" t="s">
        <v>4189</v>
      </c>
      <c r="E273" s="297" t="str">
        <f t="shared" si="12"/>
        <v>Élémentaire</v>
      </c>
      <c r="F273" s="297" t="str">
        <f>VLOOKUP(E273,'Types de monstres'!$A$2:$B$17,2,FALSE)</f>
        <v>ELEMENTARY</v>
      </c>
      <c r="G273" s="297" t="str">
        <f t="shared" si="13"/>
        <v/>
      </c>
      <c r="H273" s="297" t="str">
        <f>IF(OR(G273="",G273="toute race"),"",VLOOKUP(G273,'Types de monstres'!$F$2:$G$49,2,FALSE))</f>
        <v/>
      </c>
      <c r="I273" s="298" t="s">
        <v>4091</v>
      </c>
      <c r="J273" s="300">
        <v>18</v>
      </c>
      <c r="K273" s="300">
        <v>123</v>
      </c>
      <c r="L273" s="298"/>
      <c r="M273" s="298" t="s">
        <v>4193</v>
      </c>
      <c r="N273" s="297" t="str">
        <f>IF(M273="sans alignement","",IF(M273="tout alignement", """1_LB"", ""2_NB"", ""3_CB"", ""4_LN"", ""5_NN"", ""6_CN"", ""7_LM"", ""8_NM"", ""9_CM""",IF(M273="tout alignement non bon", """4_LN"", ""5_NN"", ""6_CN"", ""7_LM"", ""8_NM"", ""9_CM""",IF(M273="tout alignement mauvais", """7_LM"", ""8_NM"", ""9_CM""",IF(M273="tout alignement chaotique", """3_CB"", ""6_CN"", ""9_CM""",IF(M273="tout alignement non loyal", """2_NB"", ""3_CB"", ""5_NN"", ""6_CN"", ""8_NM"", ""9_CM""",""""&amp;VLOOKUP(M273,Alignements!$A$2:$B$10,2, FALSE)&amp;""""))))))</f>
        <v>"5_NN"</v>
      </c>
      <c r="O273" s="298"/>
      <c r="P273" t="str">
        <f t="shared" si="14"/>
        <v>"Élémentaire du feu, myrmidon": {
  "Name" : "Élémentaire du feu, myrmidon",
  "VO" : "Fire Elemental Myrmidon",
  "Family" : "ELEMENTARY",
  "Species" : [""],
  "FP" : "7", 
  "Size" : "M",
  "AC" : 18,
  "HP" : 123, 
  "Speed" : "",
  "Alignments" : ["5_NN"],
  "Legendary" : ""}</v>
      </c>
    </row>
    <row r="274" spans="1:16">
      <c r="A274" s="61" t="s">
        <v>761</v>
      </c>
      <c r="B274" s="297" t="s">
        <v>4617</v>
      </c>
      <c r="C274" s="305">
        <v>4</v>
      </c>
      <c r="D274" s="297" t="s">
        <v>4128</v>
      </c>
      <c r="E274" s="297" t="str">
        <f t="shared" si="12"/>
        <v>Bête</v>
      </c>
      <c r="F274" s="297" t="str">
        <f>VLOOKUP(E274,'Types de monstres'!$A$2:$B$17,2,FALSE)</f>
        <v>BEAST</v>
      </c>
      <c r="G274" s="297" t="str">
        <f t="shared" si="13"/>
        <v/>
      </c>
      <c r="H274" s="297" t="str">
        <f>IF(OR(G274="",G274="toute race"),"",VLOOKUP(G274,'Types de monstres'!$F$2:$G$49,2,FALSE))</f>
        <v/>
      </c>
      <c r="I274" s="297" t="s">
        <v>4149</v>
      </c>
      <c r="J274" s="302">
        <v>12</v>
      </c>
      <c r="K274" s="302">
        <v>76</v>
      </c>
      <c r="L274" s="297"/>
      <c r="M274" s="297" t="s">
        <v>4130</v>
      </c>
      <c r="N274" s="297" t="str">
        <f>IF(M274="sans alignement","",IF(M274="tout alignement", """1_LB"", ""2_NB"", ""3_CB"", ""4_LN"", ""5_NN"", ""6_CN"", ""7_LM"", ""8_NM"", ""9_CM""",IF(M274="tout alignement non bon", """4_LN"", ""5_NN"", ""6_CN"", ""7_LM"", ""8_NM"", ""9_CM""",IF(M274="tout alignement mauvais", """7_LM"", ""8_NM"", ""9_CM""",IF(M274="tout alignement chaotique", """3_CB"", ""6_CN"", ""9_CM""",IF(M274="tout alignement non loyal", """2_NB"", ""3_CB"", ""5_NN"", ""6_CN"", ""8_NM"", ""9_CM""",""""&amp;VLOOKUP(M274,Alignements!$A$2:$B$10,2, FALSE)&amp;""""))))))</f>
        <v/>
      </c>
      <c r="O274" s="297"/>
      <c r="P274" t="str">
        <f t="shared" si="14"/>
        <v>"Éléphant": {
  "Name" : "Éléphant",
  "VO" : "Elephant",
  "Family" : "BEAST",
  "Species" : [""],
  "FP" : "4", 
  "Size" : "TG",
  "AC" : 12,
  "HP" : 76, 
  "Speed" : "",
  "Alignments" : [],
  "Legendary" : ""}</v>
      </c>
    </row>
    <row r="275" spans="1:16">
      <c r="A275" s="61" t="s">
        <v>4618</v>
      </c>
      <c r="B275" s="298" t="s">
        <v>4618</v>
      </c>
      <c r="C275" s="306" t="s">
        <v>5618</v>
      </c>
      <c r="D275" s="298" t="s">
        <v>4242</v>
      </c>
      <c r="E275" s="297" t="str">
        <f t="shared" si="12"/>
        <v>Humanoïde</v>
      </c>
      <c r="F275" s="297" t="str">
        <f>VLOOKUP(E275,'Types de monstres'!$A$2:$B$17,2,FALSE)</f>
        <v>HUMANOID</v>
      </c>
      <c r="G275" s="297" t="str">
        <f t="shared" si="13"/>
        <v>humain</v>
      </c>
      <c r="H275" s="297" t="str">
        <f>IF(OR(G275="",G275="toute race"),"",VLOOKUP(G275,'Types de monstres'!$F$2:$G$49,2,FALSE))</f>
        <v>HUMAN</v>
      </c>
      <c r="I275" s="298" t="s">
        <v>4091</v>
      </c>
      <c r="J275" s="300">
        <v>10</v>
      </c>
      <c r="K275" s="300">
        <v>7</v>
      </c>
      <c r="L275" s="298"/>
      <c r="M275" s="298" t="s">
        <v>4193</v>
      </c>
      <c r="N275" s="297" t="str">
        <f>IF(M275="sans alignement","",IF(M275="tout alignement", """1_LB"", ""2_NB"", ""3_CB"", ""4_LN"", ""5_NN"", ""6_CN"", ""7_LM"", ""8_NM"", ""9_CM""",IF(M275="tout alignement non bon", """4_LN"", ""5_NN"", ""6_CN"", ""7_LM"", ""8_NM"", ""9_CM""",IF(M275="tout alignement mauvais", """7_LM"", ""8_NM"", ""9_CM""",IF(M275="tout alignement chaotique", """3_CB"", ""6_CN"", ""9_CM""",IF(M275="tout alignement non loyal", """2_NB"", ""3_CB"", ""5_NN"", ""6_CN"", ""8_NM"", ""9_CM""",""""&amp;VLOOKUP(M275,Alignements!$A$2:$B$10,2, FALSE)&amp;""""))))))</f>
        <v>"5_NN"</v>
      </c>
      <c r="O275" s="298"/>
      <c r="P275" t="str">
        <f t="shared" si="14"/>
        <v>"Elric": {
  "Name" : "Elric",
  "VO" : "Elric",
  "Family" : "HUMANOID",
  "Species" : ["HUMAN"],
  "FP" : "1/4", 
  "Size" : "M",
  "AC" : 10,
  "HP" : 7, 
  "Speed" : "",
  "Alignments" : ["5_NN"],
  "Legendary" : ""}</v>
      </c>
    </row>
    <row r="276" spans="1:16">
      <c r="A276" s="61" t="s">
        <v>4619</v>
      </c>
      <c r="B276" s="297" t="s">
        <v>4620</v>
      </c>
      <c r="C276" s="305">
        <v>23</v>
      </c>
      <c r="D276" s="297" t="s">
        <v>4621</v>
      </c>
      <c r="E276" s="297" t="str">
        <f t="shared" si="12"/>
        <v>Céleste</v>
      </c>
      <c r="F276" s="297" t="str">
        <f>VLOOKUP(E276,'Types de monstres'!$A$2:$B$17,2,FALSE)</f>
        <v>CELESTIAL</v>
      </c>
      <c r="G276" s="297" t="str">
        <f t="shared" si="13"/>
        <v>titan</v>
      </c>
      <c r="H276" s="297" t="str">
        <f>IF(OR(G276="",G276="toute race"),"",VLOOKUP(G276,'Types de monstres'!$F$2:$G$49,2,FALSE))</f>
        <v>TITAN</v>
      </c>
      <c r="I276" s="297" t="s">
        <v>4149</v>
      </c>
      <c r="J276" s="302">
        <v>22</v>
      </c>
      <c r="K276" s="302">
        <v>313</v>
      </c>
      <c r="L276" s="297" t="s">
        <v>4452</v>
      </c>
      <c r="M276" s="297" t="s">
        <v>4439</v>
      </c>
      <c r="N276" s="297" t="str">
        <f>IF(M276="sans alignement","",IF(M276="tout alignement", """1_LB"", ""2_NB"", ""3_CB"", ""4_LN"", ""5_NN"", ""6_CN"", ""7_LM"", ""8_NM"", ""9_CM""",IF(M276="tout alignement non bon", """4_LN"", ""5_NN"", ""6_CN"", ""7_LM"", ""8_NM"", ""9_CM""",IF(M276="tout alignement mauvais", """7_LM"", ""8_NM"", ""9_CM""",IF(M276="tout alignement chaotique", """3_CB"", ""6_CN"", ""9_CM""",IF(M276="tout alignement non loyal", """2_NB"", ""3_CB"", ""5_NN"", ""6_CN"", ""8_NM"", ""9_CM""",""""&amp;VLOOKUP(M276,Alignements!$A$2:$B$10,2, FALSE)&amp;""""))))))</f>
        <v>"3_CB"</v>
      </c>
      <c r="O276" s="297" t="s">
        <v>4114</v>
      </c>
      <c r="P276" t="str">
        <f t="shared" si="14"/>
        <v>"Empyréen": {
  "Name" : "Empyréen",
  "VO" : "Empyrean",
  "Family" : "CELESTIAL",
  "Species" : ["TITAN"],
  "FP" : "23", 
  "Size" : "TG",
  "AC" : 22,
  "HP" : 313, 
  "Speed" : "vol, nage",
  "Alignments" : ["3_CB"],
  "Legendary" : "Légendaire"}</v>
      </c>
    </row>
    <row r="277" spans="1:16">
      <c r="A277" s="61" t="s">
        <v>4622</v>
      </c>
      <c r="B277" s="298" t="s">
        <v>4623</v>
      </c>
      <c r="C277" s="306">
        <v>5</v>
      </c>
      <c r="D277" s="298" t="s">
        <v>4108</v>
      </c>
      <c r="E277" s="297" t="str">
        <f t="shared" si="12"/>
        <v>Humanoïde</v>
      </c>
      <c r="F277" s="297" t="str">
        <f>VLOOKUP(E277,'Types de monstres'!$A$2:$B$17,2,FALSE)</f>
        <v>HUMANOID</v>
      </c>
      <c r="G277" s="297" t="str">
        <f t="shared" si="13"/>
        <v>toute race</v>
      </c>
      <c r="H277" s="297" t="str">
        <f>IF(OR(G277="",G277="toute race"),"",VLOOKUP(G277,'Types de monstres'!$F$2:$G$49,2,FALSE))</f>
        <v/>
      </c>
      <c r="I277" s="298" t="s">
        <v>4091</v>
      </c>
      <c r="J277" s="300">
        <v>12</v>
      </c>
      <c r="K277" s="300">
        <v>40</v>
      </c>
      <c r="L277" s="298"/>
      <c r="M277" s="298" t="s">
        <v>4109</v>
      </c>
      <c r="N277" s="297" t="str">
        <f>IF(M277="sans alignement","",IF(M277="tout alignement", """1_LB"", ""2_NB"", ""3_CB"", ""4_LN"", ""5_NN"", ""6_CN"", ""7_LM"", ""8_NM"", ""9_CM""",IF(M277="tout alignement non bon", """4_LN"", ""5_NN"", ""6_CN"", ""7_LM"", ""8_NM"", ""9_CM""",IF(M277="tout alignement mauvais", """7_LM"", ""8_NM"", ""9_CM""",IF(M277="tout alignement chaotique", """3_CB"", ""6_CN"", ""9_CM""",IF(M277="tout alignement non loyal", """2_NB"", ""3_CB"", ""5_NN"", ""6_CN"", ""8_NM"", ""9_CM""",""""&amp;VLOOKUP(M277,Alignements!$A$2:$B$10,2, FALSE)&amp;""""))))))</f>
        <v>"1_LB", "2_NB", "3_CB", "4_LN", "5_NN", "6_CN", "7_LM", "8_NM", "9_CM"</v>
      </c>
      <c r="O277" s="298"/>
      <c r="P277" t="str">
        <f t="shared" si="14"/>
        <v>"Enchanteur": {
  "Name" : "Enchanteur",
  "VO" : "Enchanter",
  "Family" : "HUMANOID",
  "Species" : [""],
  "FP" : "5", 
  "Size" : "M",
  "AC" : 12,
  "HP" : 40, 
  "Speed" : "",
  "Alignments" : ["1_LB", "2_NB", "3_CB", "4_LN", "5_NN", "6_CN", "7_LM", "8_NM", "9_CM"],
  "Legendary" : ""}</v>
      </c>
    </row>
    <row r="278" spans="1:16">
      <c r="A278" s="61" t="s">
        <v>4624</v>
      </c>
      <c r="B278" s="297" t="s">
        <v>4625</v>
      </c>
      <c r="C278" s="305">
        <v>5</v>
      </c>
      <c r="D278" s="297" t="s">
        <v>4121</v>
      </c>
      <c r="E278" s="297" t="str">
        <f t="shared" si="12"/>
        <v>Créature monstrueuse</v>
      </c>
      <c r="F278" s="297" t="str">
        <f>VLOOKUP(E278,'Types de monstres'!$A$2:$B$17,2,FALSE)</f>
        <v>MONSTROUS_CREATURE</v>
      </c>
      <c r="G278" s="297" t="str">
        <f t="shared" si="13"/>
        <v/>
      </c>
      <c r="H278" s="297" t="str">
        <f>IF(OR(G278="",G278="toute race"),"",VLOOKUP(G278,'Types de monstres'!$F$2:$G$49,2,FALSE))</f>
        <v/>
      </c>
      <c r="I278" s="297" t="s">
        <v>4112</v>
      </c>
      <c r="J278" s="302">
        <v>20</v>
      </c>
      <c r="K278" s="302">
        <v>93</v>
      </c>
      <c r="L278" s="297"/>
      <c r="M278" s="297" t="s">
        <v>4118</v>
      </c>
      <c r="N278" s="297" t="str">
        <f>IF(M278="sans alignement","",IF(M278="tout alignement", """1_LB"", ""2_NB"", ""3_CB"", ""4_LN"", ""5_NN"", ""6_CN"", ""7_LM"", ""8_NM"", ""9_CM""",IF(M278="tout alignement non bon", """4_LN"", ""5_NN"", ""6_CN"", ""7_LM"", ""8_NM"", ""9_CM""",IF(M278="tout alignement mauvais", """7_LM"", ""8_NM"", ""9_CM""",IF(M278="tout alignement chaotique", """3_CB"", ""6_CN"", ""9_CM""",IF(M278="tout alignement non loyal", """2_NB"", ""3_CB"", ""5_NN"", ""6_CN"", ""8_NM"", ""9_CM""",""""&amp;VLOOKUP(M278,Alignements!$A$2:$B$10,2, FALSE)&amp;""""))))))</f>
        <v>"8_NM"</v>
      </c>
      <c r="O278" s="297"/>
      <c r="P278" t="str">
        <f t="shared" si="14"/>
        <v>"Enlaceur": {
  "Name" : "Enlaceur",
  "VO" : "Roper",
  "Family" : "MONSTROUS_CREATURE",
  "Species" : [""],
  "FP" : "5", 
  "Size" : "G",
  "AC" : 20,
  "HP" : 93, 
  "Speed" : "",
  "Alignments" : ["8_NM"],
  "Legendary" : ""}</v>
      </c>
    </row>
    <row r="279" spans="1:16">
      <c r="A279" s="61" t="s">
        <v>4626</v>
      </c>
      <c r="B279" s="298" t="s">
        <v>4627</v>
      </c>
      <c r="C279" s="306">
        <v>3</v>
      </c>
      <c r="D279" s="298" t="s">
        <v>4128</v>
      </c>
      <c r="E279" s="297" t="str">
        <f t="shared" si="12"/>
        <v>Bête</v>
      </c>
      <c r="F279" s="297" t="str">
        <f>VLOOKUP(E279,'Types de monstres'!$A$2:$B$17,2,FALSE)</f>
        <v>BEAST</v>
      </c>
      <c r="G279" s="297" t="str">
        <f t="shared" si="13"/>
        <v/>
      </c>
      <c r="H279" s="297" t="str">
        <f>IF(OR(G279="",G279="toute race"),"",VLOOKUP(G279,'Types de monstres'!$F$2:$G$49,2,FALSE))</f>
        <v/>
      </c>
      <c r="I279" s="298" t="s">
        <v>4149</v>
      </c>
      <c r="J279" s="300">
        <v>12</v>
      </c>
      <c r="K279" s="300">
        <v>90</v>
      </c>
      <c r="L279" s="298" t="s">
        <v>4113</v>
      </c>
      <c r="M279" s="298" t="s">
        <v>4130</v>
      </c>
      <c r="N279" s="297" t="str">
        <f>IF(M279="sans alignement","",IF(M279="tout alignement", """1_LB"", ""2_NB"", ""3_CB"", ""4_LN"", ""5_NN"", ""6_CN"", ""7_LM"", ""8_NM"", ""9_CM""",IF(M279="tout alignement non bon", """4_LN"", ""5_NN"", ""6_CN"", ""7_LM"", ""8_NM"", ""9_CM""",IF(M279="tout alignement mauvais", """7_LM"", ""8_NM"", ""9_CM""",IF(M279="tout alignement chaotique", """3_CB"", ""6_CN"", ""9_CM""",IF(M279="tout alignement non loyal", """2_NB"", ""3_CB"", ""5_NN"", ""6_CN"", ""8_NM"", ""9_CM""",""""&amp;VLOOKUP(M279,Alignements!$A$2:$B$10,2, FALSE)&amp;""""))))))</f>
        <v/>
      </c>
      <c r="O279" s="298"/>
      <c r="P279" t="str">
        <f t="shared" si="14"/>
        <v>"Épaulard": {
  "Name" : "Épaulard",
  "VO" : "Killer Whale",
  "Family" : "BEAST",
  "Species" : [""],
  "FP" : "3", 
  "Size" : "TG",
  "AC" : 12,
  "HP" : 90, 
  "Speed" : "nage",
  "Alignments" : [],
  "Legendary" : ""}</v>
      </c>
    </row>
    <row r="280" spans="1:16">
      <c r="A280" s="61" t="s">
        <v>4628</v>
      </c>
      <c r="B280" s="297" t="s">
        <v>4629</v>
      </c>
      <c r="C280" s="305" t="s">
        <v>5618</v>
      </c>
      <c r="D280" s="297" t="s">
        <v>4181</v>
      </c>
      <c r="E280" s="297" t="str">
        <f t="shared" si="12"/>
        <v>Créature artificielle</v>
      </c>
      <c r="F280" s="297" t="str">
        <f>VLOOKUP(E280,'Types de monstres'!$A$2:$B$17,2,FALSE)</f>
        <v>ARTIFICIAL_CREATURE</v>
      </c>
      <c r="G280" s="297" t="str">
        <f t="shared" si="13"/>
        <v/>
      </c>
      <c r="H280" s="297" t="str">
        <f>IF(OR(G280="",G280="toute race"),"",VLOOKUP(G280,'Types de monstres'!$F$2:$G$49,2,FALSE))</f>
        <v/>
      </c>
      <c r="I280" s="297" t="s">
        <v>4129</v>
      </c>
      <c r="J280" s="302">
        <v>17</v>
      </c>
      <c r="K280" s="302">
        <v>17</v>
      </c>
      <c r="L280" s="297" t="s">
        <v>4092</v>
      </c>
      <c r="M280" s="297" t="s">
        <v>4130</v>
      </c>
      <c r="N280" s="297" t="str">
        <f>IF(M280="sans alignement","",IF(M280="tout alignement", """1_LB"", ""2_NB"", ""3_CB"", ""4_LN"", ""5_NN"", ""6_CN"", ""7_LM"", ""8_NM"", ""9_CM""",IF(M280="tout alignement non bon", """4_LN"", ""5_NN"", ""6_CN"", ""7_LM"", ""8_NM"", ""9_CM""",IF(M280="tout alignement mauvais", """7_LM"", ""8_NM"", ""9_CM""",IF(M280="tout alignement chaotique", """3_CB"", ""6_CN"", ""9_CM""",IF(M280="tout alignement non loyal", """2_NB"", ""3_CB"", ""5_NN"", ""6_CN"", ""8_NM"", ""9_CM""",""""&amp;VLOOKUP(M280,Alignements!$A$2:$B$10,2, FALSE)&amp;""""))))))</f>
        <v/>
      </c>
      <c r="O280" s="297"/>
      <c r="P280" t="str">
        <f t="shared" si="14"/>
        <v>"Épée volante": {
  "Name" : "Épée volante",
  "VO" : "Flying Sword",
  "Family" : "ARTIFICIAL_CREATURE",
  "Species" : [""],
  "FP" : "1/4", 
  "Size" : "P",
  "AC" : 17,
  "HP" : 17, 
  "Speed" : "vol",
  "Alignments" : [],
  "Legendary" : ""}</v>
      </c>
    </row>
    <row r="281" spans="1:16">
      <c r="A281" s="61" t="s">
        <v>4630</v>
      </c>
      <c r="B281" s="298" t="s">
        <v>4631</v>
      </c>
      <c r="C281" s="306">
        <v>1</v>
      </c>
      <c r="D281" s="298" t="s">
        <v>4167</v>
      </c>
      <c r="E281" s="297" t="str">
        <f t="shared" si="12"/>
        <v>Plante</v>
      </c>
      <c r="F281" s="297" t="str">
        <f>VLOOKUP(E281,'Types de monstres'!$A$2:$B$17,2,FALSE)</f>
        <v>PLANT</v>
      </c>
      <c r="G281" s="297" t="str">
        <f t="shared" si="13"/>
        <v/>
      </c>
      <c r="H281" s="297" t="str">
        <f>IF(OR(G281="",G281="toute race"),"",VLOOKUP(G281,'Types de monstres'!$F$2:$G$49,2,FALSE))</f>
        <v/>
      </c>
      <c r="I281" s="298" t="s">
        <v>4091</v>
      </c>
      <c r="J281" s="300">
        <v>14</v>
      </c>
      <c r="K281" s="300">
        <v>27</v>
      </c>
      <c r="L281" s="298"/>
      <c r="M281" s="298" t="s">
        <v>4193</v>
      </c>
      <c r="N281" s="297" t="str">
        <f>IF(M281="sans alignement","",IF(M281="tout alignement", """1_LB"", ""2_NB"", ""3_CB"", ""4_LN"", ""5_NN"", ""6_CN"", ""7_LM"", ""8_NM"", ""9_CM""",IF(M281="tout alignement non bon", """4_LN"", ""5_NN"", ""6_CN"", ""7_LM"", ""8_NM"", ""9_CM""",IF(M281="tout alignement mauvais", """7_LM"", ""8_NM"", ""9_CM""",IF(M281="tout alignement chaotique", """3_CB"", ""6_CN"", ""9_CM""",IF(M281="tout alignement non loyal", """2_NB"", ""3_CB"", ""5_NN"", ""6_CN"", ""8_NM"", ""9_CM""",""""&amp;VLOOKUP(M281,Alignements!$A$2:$B$10,2, FALSE)&amp;""""))))))</f>
        <v>"5_NN"</v>
      </c>
      <c r="O281" s="298"/>
      <c r="P281" t="str">
        <f t="shared" si="14"/>
        <v>"Épineux": {
  "Name" : "Épineux",
  "VO" : "Thorny",
  "Family" : "PLANT",
  "Species" : [""],
  "FP" : "1", 
  "Size" : "M",
  "AC" : 14,
  "HP" : 27, 
  "Speed" : "",
  "Alignments" : ["5_NN"],
  "Legendary" : ""}</v>
      </c>
    </row>
    <row r="282" spans="1:16">
      <c r="A282" s="61" t="s">
        <v>4632</v>
      </c>
      <c r="B282" s="297" t="s">
        <v>4633</v>
      </c>
      <c r="C282" s="305">
        <v>1</v>
      </c>
      <c r="D282" s="297" t="s">
        <v>4181</v>
      </c>
      <c r="E282" s="297" t="str">
        <f t="shared" si="12"/>
        <v>Créature artificielle</v>
      </c>
      <c r="F282" s="297" t="str">
        <f>VLOOKUP(E282,'Types de monstres'!$A$2:$B$17,2,FALSE)</f>
        <v>ARTIFICIAL_CREATURE</v>
      </c>
      <c r="G282" s="297" t="str">
        <f t="shared" si="13"/>
        <v/>
      </c>
      <c r="H282" s="297" t="str">
        <f>IF(OR(G282="",G282="toute race"),"",VLOOKUP(G282,'Types de monstres'!$F$2:$G$49,2,FALSE))</f>
        <v/>
      </c>
      <c r="I282" s="297" t="s">
        <v>4091</v>
      </c>
      <c r="J282" s="302">
        <v>11</v>
      </c>
      <c r="K282" s="302">
        <v>36</v>
      </c>
      <c r="L282" s="297"/>
      <c r="M282" s="297" t="s">
        <v>4137</v>
      </c>
      <c r="N282" s="297" t="str">
        <f>IF(M282="sans alignement","",IF(M282="tout alignement", """1_LB"", ""2_NB"", ""3_CB"", ""4_LN"", ""5_NN"", ""6_CN"", ""7_LM"", ""8_NM"", ""9_CM""",IF(M282="tout alignement non bon", """4_LN"", ""5_NN"", ""6_CN"", ""7_LM"", ""8_NM"", ""9_CM""",IF(M282="tout alignement mauvais", """7_LM"", ""8_NM"", ""9_CM""",IF(M282="tout alignement chaotique", """3_CB"", ""6_CN"", ""9_CM""",IF(M282="tout alignement non loyal", """2_NB"", ""3_CB"", ""5_NN"", ""6_CN"", ""8_NM"", ""9_CM""",""""&amp;VLOOKUP(M282,Alignements!$A$2:$B$10,2, FALSE)&amp;""""))))))</f>
        <v>"9_CM"</v>
      </c>
      <c r="O282" s="297"/>
      <c r="P282" t="str">
        <f t="shared" si="14"/>
        <v>"Épouvantail": {
  "Name" : "Épouvantail",
  "VO" : "Scarecrow",
  "Family" : "ARTIFICIAL_CREATURE",
  "Species" : [""],
  "FP" : "1", 
  "Size" : "M",
  "AC" : 11,
  "HP" : 36, 
  "Speed" : "",
  "Alignments" : ["9_CM"],
  "Legendary" : ""}</v>
      </c>
    </row>
    <row r="283" spans="1:16">
      <c r="A283" s="61" t="s">
        <v>4634</v>
      </c>
      <c r="B283" s="298" t="s">
        <v>4635</v>
      </c>
      <c r="C283" s="306">
        <v>12</v>
      </c>
      <c r="D283" s="298" t="s">
        <v>4096</v>
      </c>
      <c r="E283" s="297" t="str">
        <f t="shared" si="12"/>
        <v>Fiélon</v>
      </c>
      <c r="F283" s="297" t="str">
        <f>VLOOKUP(E283,'Types de monstres'!$A$2:$B$17,2,FALSE)</f>
        <v>FIEND</v>
      </c>
      <c r="G283" s="297" t="str">
        <f t="shared" si="13"/>
        <v>diable</v>
      </c>
      <c r="H283" s="297" t="str">
        <f>IF(OR(G283="",G283="toute race"),"",VLOOKUP(G283,'Types de monstres'!$F$2:$G$49,2,FALSE))</f>
        <v>DEVIL</v>
      </c>
      <c r="I283" s="298" t="s">
        <v>4091</v>
      </c>
      <c r="J283" s="300">
        <v>18</v>
      </c>
      <c r="K283" s="300">
        <v>153</v>
      </c>
      <c r="L283" s="298" t="s">
        <v>4092</v>
      </c>
      <c r="M283" s="298" t="s">
        <v>4097</v>
      </c>
      <c r="N283" s="297" t="str">
        <f>IF(M283="sans alignement","",IF(M283="tout alignement", """1_LB"", ""2_NB"", ""3_CB"", ""4_LN"", ""5_NN"", ""6_CN"", ""7_LM"", ""8_NM"", ""9_CM""",IF(M283="tout alignement non bon", """4_LN"", ""5_NN"", ""6_CN"", ""7_LM"", ""8_NM"", ""9_CM""",IF(M283="tout alignement mauvais", """7_LM"", ""8_NM"", ""9_CM""",IF(M283="tout alignement chaotique", """3_CB"", ""6_CN"", ""9_CM""",IF(M283="tout alignement non loyal", """2_NB"", ""3_CB"", ""5_NN"", ""6_CN"", ""8_NM"", ""9_CM""",""""&amp;VLOOKUP(M283,Alignements!$A$2:$B$10,2, FALSE)&amp;""""))))))</f>
        <v>"7_LM"</v>
      </c>
      <c r="O283" s="298"/>
      <c r="P283" t="str">
        <f t="shared" si="14"/>
        <v>"Érinye": {
  "Name" : "Érinye",
  "VO" : "Erinyes",
  "Family" : "FIEND",
  "Species" : ["DEVIL"],
  "FP" : "12", 
  "Size" : "M",
  "AC" : 18,
  "HP" : 153, 
  "Speed" : "vol",
  "Alignments" : ["7_LM"],
  "Legendary" : ""}</v>
      </c>
    </row>
    <row r="284" spans="1:16">
      <c r="A284" s="301" t="s">
        <v>4636</v>
      </c>
      <c r="B284" s="297" t="s">
        <v>4637</v>
      </c>
      <c r="C284" s="305">
        <v>3</v>
      </c>
      <c r="D284" s="297" t="s">
        <v>4189</v>
      </c>
      <c r="E284" s="297" t="str">
        <f t="shared" si="12"/>
        <v>Élémentaire</v>
      </c>
      <c r="F284" s="297" t="str">
        <f>VLOOKUP(E284,'Types de monstres'!$A$2:$B$17,2,FALSE)</f>
        <v>ELEMENTARY</v>
      </c>
      <c r="G284" s="297" t="str">
        <f t="shared" si="13"/>
        <v/>
      </c>
      <c r="H284" s="297" t="str">
        <f>IF(OR(G284="",G284="toute race"),"",VLOOKUP(G284,'Types de monstres'!$F$2:$G$49,2,FALSE))</f>
        <v/>
      </c>
      <c r="I284" s="297" t="s">
        <v>4112</v>
      </c>
      <c r="J284" s="302">
        <v>16</v>
      </c>
      <c r="K284" s="302">
        <v>52</v>
      </c>
      <c r="L284" s="297"/>
      <c r="M284" s="297" t="s">
        <v>4130</v>
      </c>
      <c r="N284" s="297" t="str">
        <f>IF(M284="sans alignement","",IF(M284="tout alignement", """1_LB"", ""2_NB"", ""3_CB"", ""4_LN"", ""5_NN"", ""6_CN"", ""7_LM"", ""8_NM"", ""9_CM""",IF(M284="tout alignement non bon", """4_LN"", ""5_NN"", ""6_CN"", ""7_LM"", ""8_NM"", ""9_CM""",IF(M284="tout alignement mauvais", """7_LM"", ""8_NM"", ""9_CM""",IF(M284="tout alignement chaotique", """3_CB"", ""6_CN"", ""9_CM""",IF(M284="tout alignement non loyal", """2_NB"", ""3_CB"", ""5_NN"", ""6_CN"", ""8_NM"", ""9_CM""",""""&amp;VLOOKUP(M284,Alignements!$A$2:$B$10,2, FALSE)&amp;""""))))))</f>
        <v/>
      </c>
      <c r="O284" s="297"/>
      <c r="P284" t="str">
        <f t="shared" si="14"/>
        <v>"Escargot fléau": {
  "Name" : "Escargot fléau",
  "VO" : "Flail Snail",
  "Family" : "ELEMENTARY",
  "Species" : [""],
  "FP" : "3", 
  "Size" : "G",
  "AC" : 16,
  "HP" : 52, 
  "Speed" : "",
  "Alignments" : [],
  "Legendary" : ""}</v>
      </c>
    </row>
    <row r="285" spans="1:16">
      <c r="A285" s="61" t="s">
        <v>4638</v>
      </c>
      <c r="B285" s="298" t="s">
        <v>4639</v>
      </c>
      <c r="C285" s="306">
        <v>1</v>
      </c>
      <c r="D285" s="298" t="s">
        <v>4108</v>
      </c>
      <c r="E285" s="297" t="str">
        <f t="shared" si="12"/>
        <v>Humanoïde</v>
      </c>
      <c r="F285" s="297" t="str">
        <f>VLOOKUP(E285,'Types de monstres'!$A$2:$B$17,2,FALSE)</f>
        <v>HUMANOID</v>
      </c>
      <c r="G285" s="297" t="str">
        <f t="shared" si="13"/>
        <v>toute race</v>
      </c>
      <c r="H285" s="297" t="str">
        <f>IF(OR(G285="",G285="toute race"),"",VLOOKUP(G285,'Types de monstres'!$F$2:$G$49,2,FALSE))</f>
        <v/>
      </c>
      <c r="I285" s="298" t="s">
        <v>4091</v>
      </c>
      <c r="J285" s="300">
        <v>12</v>
      </c>
      <c r="K285" s="300">
        <v>27</v>
      </c>
      <c r="L285" s="298"/>
      <c r="M285" s="298" t="s">
        <v>4109</v>
      </c>
      <c r="N285" s="297" t="str">
        <f>IF(M285="sans alignement","",IF(M285="tout alignement", """1_LB"", ""2_NB"", ""3_CB"", ""4_LN"", ""5_NN"", ""6_CN"", ""7_LM"", ""8_NM"", ""9_CM""",IF(M285="tout alignement non bon", """4_LN"", ""5_NN"", ""6_CN"", ""7_LM"", ""8_NM"", ""9_CM""",IF(M285="tout alignement mauvais", """7_LM"", ""8_NM"", ""9_CM""",IF(M285="tout alignement chaotique", """3_CB"", ""6_CN"", ""9_CM""",IF(M285="tout alignement non loyal", """2_NB"", ""3_CB"", ""5_NN"", ""6_CN"", ""8_NM"", ""9_CM""",""""&amp;VLOOKUP(M285,Alignements!$A$2:$B$10,2, FALSE)&amp;""""))))))</f>
        <v>"1_LB", "2_NB", "3_CB", "4_LN", "5_NN", "6_CN", "7_LM", "8_NM", "9_CM"</v>
      </c>
      <c r="O285" s="298"/>
      <c r="P285" t="str">
        <f t="shared" si="14"/>
        <v>"Espion": {
  "Name" : "Espion",
  "VO" : "Spy",
  "Family" : "HUMANOID",
  "Species" : [""],
  "FP" : "1", 
  "Size" : "M",
  "AC" : 12,
  "HP" : 27, 
  "Speed" : "",
  "Alignments" : ["1_LB", "2_NB", "3_CB", "4_LN", "5_NN", "6_CN", "7_LM", "8_NM", "9_CM"],
  "Legendary" : ""}</v>
      </c>
    </row>
    <row r="286" spans="1:16">
      <c r="A286" s="61" t="s">
        <v>4640</v>
      </c>
      <c r="B286" s="297" t="s">
        <v>4641</v>
      </c>
      <c r="C286" s="305" t="s">
        <v>5618</v>
      </c>
      <c r="D286" s="297" t="s">
        <v>4253</v>
      </c>
      <c r="E286" s="297" t="str">
        <f t="shared" si="12"/>
        <v>Fée</v>
      </c>
      <c r="F286" s="297" t="str">
        <f>VLOOKUP(E286,'Types de monstres'!$A$2:$B$17,2,FALSE)</f>
        <v>FAIRY</v>
      </c>
      <c r="G286" s="297" t="str">
        <f t="shared" si="13"/>
        <v/>
      </c>
      <c r="H286" s="297" t="str">
        <f>IF(OR(G286="",G286="toute race"),"",VLOOKUP(G286,'Types de monstres'!$F$2:$G$49,2,FALSE))</f>
        <v/>
      </c>
      <c r="I286" s="297" t="s">
        <v>4154</v>
      </c>
      <c r="J286" s="302">
        <v>15</v>
      </c>
      <c r="K286" s="302">
        <v>2</v>
      </c>
      <c r="L286" s="297" t="s">
        <v>4092</v>
      </c>
      <c r="M286" s="297" t="s">
        <v>4093</v>
      </c>
      <c r="N286" s="297" t="str">
        <f>IF(M286="sans alignement","",IF(M286="tout alignement", """1_LB"", ""2_NB"", ""3_CB"", ""4_LN"", ""5_NN"", ""6_CN"", ""7_LM"", ""8_NM"", ""9_CM""",IF(M286="tout alignement non bon", """4_LN"", ""5_NN"", ""6_CN"", ""7_LM"", ""8_NM"", ""9_CM""",IF(M286="tout alignement mauvais", """7_LM"", ""8_NM"", ""9_CM""",IF(M286="tout alignement chaotique", """3_CB"", ""6_CN"", ""9_CM""",IF(M286="tout alignement non loyal", """2_NB"", ""3_CB"", ""5_NN"", ""6_CN"", ""8_NM"", ""9_CM""",""""&amp;VLOOKUP(M286,Alignements!$A$2:$B$10,2, FALSE)&amp;""""))))))</f>
        <v>"2_NB"</v>
      </c>
      <c r="O286" s="297"/>
      <c r="P286" t="str">
        <f t="shared" si="14"/>
        <v>"Esprit follet": {
  "Name" : "Esprit follet",
  "VO" : "Sprite",
  "Family" : "FAIRY",
  "Species" : [""],
  "FP" : "1/4", 
  "Size" : "TP",
  "AC" : 15,
  "HP" : 2, 
  "Speed" : "vol",
  "Alignments" : ["2_NB"],
  "Legendary" : ""}</v>
      </c>
    </row>
    <row r="287" spans="1:16">
      <c r="A287" s="299" t="s">
        <v>4642</v>
      </c>
      <c r="B287" s="298" t="s">
        <v>4643</v>
      </c>
      <c r="C287" s="306">
        <v>1</v>
      </c>
      <c r="D287" s="298" t="s">
        <v>4111</v>
      </c>
      <c r="E287" s="297" t="str">
        <f t="shared" si="12"/>
        <v>Aberration</v>
      </c>
      <c r="F287" s="297" t="str">
        <f>VLOOKUP(E287,'Types de monstres'!$A$2:$B$17,2,FALSE)</f>
        <v>ABERRATION</v>
      </c>
      <c r="G287" s="297" t="str">
        <f t="shared" si="13"/>
        <v/>
      </c>
      <c r="H287" s="297" t="str">
        <f>IF(OR(G287="",G287="toute race"),"",VLOOKUP(G287,'Types de monstres'!$F$2:$G$49,2,FALSE))</f>
        <v/>
      </c>
      <c r="I287" s="298" t="s">
        <v>4129</v>
      </c>
      <c r="J287" s="300">
        <v>16</v>
      </c>
      <c r="K287" s="300">
        <v>13</v>
      </c>
      <c r="L287" s="298"/>
      <c r="M287" s="298" t="s">
        <v>4137</v>
      </c>
      <c r="N287" s="297" t="str">
        <f>IF(M287="sans alignement","",IF(M287="tout alignement", """1_LB"", ""2_NB"", ""3_CB"", ""4_LN"", ""5_NN"", ""6_CN"", ""7_LM"", ""8_NM"", ""9_CM""",IF(M287="tout alignement non bon", """4_LN"", ""5_NN"", ""6_CN"", ""7_LM"", ""8_NM"", ""9_CM""",IF(M287="tout alignement mauvais", """7_LM"", ""8_NM"", ""9_CM""",IF(M287="tout alignement chaotique", """3_CB"", ""6_CN"", ""9_CM""",IF(M287="tout alignement non loyal", """2_NB"", ""3_CB"", ""5_NN"", ""6_CN"", ""8_NM"", ""9_CM""",""""&amp;VLOOKUP(M287,Alignements!$A$2:$B$10,2, FALSE)&amp;""""))))))</f>
        <v>"9_CM"</v>
      </c>
      <c r="O287" s="298"/>
      <c r="P287" t="str">
        <f t="shared" si="14"/>
        <v>"Étrangleur": {
  "Name" : "Étrangleur",
  "VO" : "Choker",
  "Family" : "ABERRATION",
  "Species" : [""],
  "FP" : "1", 
  "Size" : "P",
  "AC" : 16,
  "HP" : 13, 
  "Speed" : "",
  "Alignments" : ["9_CM"],
  "Legendary" : ""}</v>
      </c>
    </row>
    <row r="288" spans="1:16">
      <c r="A288" s="61" t="s">
        <v>4644</v>
      </c>
      <c r="B288" s="297" t="s">
        <v>4644</v>
      </c>
      <c r="C288" s="305">
        <v>2</v>
      </c>
      <c r="D288" s="297" t="s">
        <v>4121</v>
      </c>
      <c r="E288" s="297" t="str">
        <f t="shared" si="12"/>
        <v>Créature monstrueuse</v>
      </c>
      <c r="F288" s="297" t="str">
        <f>VLOOKUP(E288,'Types de monstres'!$A$2:$B$17,2,FALSE)</f>
        <v>MONSTROUS_CREATURE</v>
      </c>
      <c r="G288" s="297" t="str">
        <f t="shared" si="13"/>
        <v/>
      </c>
      <c r="H288" s="297" t="str">
        <f>IF(OR(G288="",G288="toute race"),"",VLOOKUP(G288,'Types de monstres'!$F$2:$G$49,2,FALSE))</f>
        <v/>
      </c>
      <c r="I288" s="297" t="s">
        <v>4091</v>
      </c>
      <c r="J288" s="302">
        <v>13</v>
      </c>
      <c r="K288" s="302">
        <v>44</v>
      </c>
      <c r="L288" s="297"/>
      <c r="M288" s="297" t="s">
        <v>4118</v>
      </c>
      <c r="N288" s="297" t="str">
        <f>IF(M288="sans alignement","",IF(M288="tout alignement", """1_LB"", ""2_NB"", ""3_CB"", ""4_LN"", ""5_NN"", ""6_CN"", ""7_LM"", ""8_NM"", ""9_CM""",IF(M288="tout alignement non bon", """4_LN"", ""5_NN"", ""6_CN"", ""7_LM"", ""8_NM"", ""9_CM""",IF(M288="tout alignement mauvais", """7_LM"", ""8_NM"", ""9_CM""",IF(M288="tout alignement chaotique", """3_CB"", ""6_CN"", ""9_CM""",IF(M288="tout alignement non loyal", """2_NB"", ""3_CB"", ""5_NN"", ""6_CN"", ""8_NM"", ""9_CM""",""""&amp;VLOOKUP(M288,Alignements!$A$2:$B$10,2, FALSE)&amp;""""))))))</f>
        <v>"8_NM"</v>
      </c>
      <c r="O288" s="297"/>
      <c r="P288" t="str">
        <f t="shared" si="14"/>
        <v>"Ettercap": {
  "Name" : "Ettercap",
  "VO" : "Ettercap",
  "Family" : "MONSTROUS_CREATURE",
  "Species" : [""],
  "FP" : "2", 
  "Size" : "M",
  "AC" : 13,
  "HP" : 44, 
  "Speed" : "",
  "Alignments" : ["8_NM"],
  "Legendary" : ""}</v>
      </c>
    </row>
    <row r="289" spans="1:16">
      <c r="A289" s="61" t="s">
        <v>4645</v>
      </c>
      <c r="B289" s="298" t="s">
        <v>4645</v>
      </c>
      <c r="C289" s="306">
        <v>4</v>
      </c>
      <c r="D289" s="298" t="s">
        <v>2584</v>
      </c>
      <c r="E289" s="297" t="str">
        <f t="shared" si="12"/>
        <v>Géant</v>
      </c>
      <c r="F289" s="297" t="str">
        <f>VLOOKUP(E289,'Types de monstres'!$A$2:$B$17,2,FALSE)</f>
        <v>GIANT</v>
      </c>
      <c r="G289" s="297" t="str">
        <f t="shared" si="13"/>
        <v/>
      </c>
      <c r="H289" s="297" t="str">
        <f>IF(OR(G289="",G289="toute race"),"",VLOOKUP(G289,'Types de monstres'!$F$2:$G$49,2,FALSE))</f>
        <v/>
      </c>
      <c r="I289" s="298" t="s">
        <v>4112</v>
      </c>
      <c r="J289" s="300">
        <v>12</v>
      </c>
      <c r="K289" s="300">
        <v>85</v>
      </c>
      <c r="L289" s="298"/>
      <c r="M289" s="298" t="s">
        <v>4137</v>
      </c>
      <c r="N289" s="297" t="str">
        <f>IF(M289="sans alignement","",IF(M289="tout alignement", """1_LB"", ""2_NB"", ""3_CB"", ""4_LN"", ""5_NN"", ""6_CN"", ""7_LM"", ""8_NM"", ""9_CM""",IF(M289="tout alignement non bon", """4_LN"", ""5_NN"", ""6_CN"", ""7_LM"", ""8_NM"", ""9_CM""",IF(M289="tout alignement mauvais", """7_LM"", ""8_NM"", ""9_CM""",IF(M289="tout alignement chaotique", """3_CB"", ""6_CN"", ""9_CM""",IF(M289="tout alignement non loyal", """2_NB"", ""3_CB"", ""5_NN"", ""6_CN"", ""8_NM"", ""9_CM""",""""&amp;VLOOKUP(M289,Alignements!$A$2:$B$10,2, FALSE)&amp;""""))))))</f>
        <v>"9_CM"</v>
      </c>
      <c r="O289" s="298"/>
      <c r="P289" t="str">
        <f t="shared" si="14"/>
        <v>"Ettin": {
  "Name" : "Ettin",
  "VO" : "Ettin",
  "Family" : "GIANT",
  "Species" : [""],
  "FP" : "4", 
  "Size" : "G",
  "AC" : 12,
  "HP" : 85, 
  "Speed" : "",
  "Alignments" : ["9_CM"],
  "Legendary" : ""}</v>
      </c>
    </row>
    <row r="290" spans="1:16">
      <c r="A290" s="61" t="s">
        <v>4646</v>
      </c>
      <c r="B290" s="297" t="s">
        <v>4647</v>
      </c>
      <c r="C290" s="305">
        <v>9</v>
      </c>
      <c r="D290" s="297" t="s">
        <v>4108</v>
      </c>
      <c r="E290" s="297" t="str">
        <f t="shared" si="12"/>
        <v>Humanoïde</v>
      </c>
      <c r="F290" s="297" t="str">
        <f>VLOOKUP(E290,'Types de monstres'!$A$2:$B$17,2,FALSE)</f>
        <v>HUMANOID</v>
      </c>
      <c r="G290" s="297" t="str">
        <f t="shared" si="13"/>
        <v>toute race</v>
      </c>
      <c r="H290" s="297" t="str">
        <f>IF(OR(G290="",G290="toute race"),"",VLOOKUP(G290,'Types de monstres'!$F$2:$G$49,2,FALSE))</f>
        <v/>
      </c>
      <c r="I290" s="297" t="s">
        <v>4091</v>
      </c>
      <c r="J290" s="302">
        <v>12</v>
      </c>
      <c r="K290" s="302">
        <v>66</v>
      </c>
      <c r="L290" s="297"/>
      <c r="M290" s="297" t="s">
        <v>4109</v>
      </c>
      <c r="N290" s="297" t="str">
        <f>IF(M290="sans alignement","",IF(M290="tout alignement", """1_LB"", ""2_NB"", ""3_CB"", ""4_LN"", ""5_NN"", ""6_CN"", ""7_LM"", ""8_NM"", ""9_CM""",IF(M290="tout alignement non bon", """4_LN"", ""5_NN"", ""6_CN"", ""7_LM"", ""8_NM"", ""9_CM""",IF(M290="tout alignement mauvais", """7_LM"", ""8_NM"", ""9_CM""",IF(M290="tout alignement chaotique", """3_CB"", ""6_CN"", ""9_CM""",IF(M290="tout alignement non loyal", """2_NB"", ""3_CB"", ""5_NN"", ""6_CN"", ""8_NM"", ""9_CM""",""""&amp;VLOOKUP(M290,Alignements!$A$2:$B$10,2, FALSE)&amp;""""))))))</f>
        <v>"1_LB", "2_NB", "3_CB", "4_LN", "5_NN", "6_CN", "7_LM", "8_NM", "9_CM"</v>
      </c>
      <c r="O290" s="297"/>
      <c r="P290" t="str">
        <f t="shared" si="14"/>
        <v>"Évocateur": {
  "Name" : "Évocateur",
  "VO" : "Evoker",
  "Family" : "HUMANOID",
  "Species" : [""],
  "FP" : "9", 
  "Size" : "M",
  "AC" : 12,
  "HP" : 66, 
  "Speed" : "",
  "Alignments" : ["1_LB", "2_NB", "3_CB", "4_LN", "5_NN", "6_CN", "7_LM", "8_NM", "9_CM"],
  "Legendary" : ""}</v>
      </c>
    </row>
    <row r="291" spans="1:16">
      <c r="A291" s="61" t="s">
        <v>4648</v>
      </c>
      <c r="B291" s="298" t="s">
        <v>4649</v>
      </c>
      <c r="C291" s="306">
        <v>0</v>
      </c>
      <c r="D291" s="298" t="s">
        <v>4108</v>
      </c>
      <c r="E291" s="297" t="str">
        <f t="shared" si="12"/>
        <v>Humanoïde</v>
      </c>
      <c r="F291" s="297" t="str">
        <f>VLOOKUP(E291,'Types de monstres'!$A$2:$B$17,2,FALSE)</f>
        <v>HUMANOID</v>
      </c>
      <c r="G291" s="297" t="str">
        <f t="shared" si="13"/>
        <v>toute race</v>
      </c>
      <c r="H291" s="297" t="str">
        <f>IF(OR(G291="",G291="toute race"),"",VLOOKUP(G291,'Types de monstres'!$F$2:$G$49,2,FALSE))</f>
        <v/>
      </c>
      <c r="I291" s="298" t="s">
        <v>4091</v>
      </c>
      <c r="J291" s="300">
        <v>14</v>
      </c>
      <c r="K291" s="300">
        <v>11</v>
      </c>
      <c r="L291" s="298"/>
      <c r="M291" s="298" t="s">
        <v>4109</v>
      </c>
      <c r="N291" s="297" t="str">
        <f>IF(M291="sans alignement","",IF(M291="tout alignement", """1_LB"", ""2_NB"", ""3_CB"", ""4_LN"", ""5_NN"", ""6_CN"", ""7_LM"", ""8_NM"", ""9_CM""",IF(M291="tout alignement non bon", """4_LN"", ""5_NN"", ""6_CN"", ""7_LM"", ""8_NM"", ""9_CM""",IF(M291="tout alignement mauvais", """7_LM"", ""8_NM"", ""9_CM""",IF(M291="tout alignement chaotique", """3_CB"", ""6_CN"", ""9_CM""",IF(M291="tout alignement non loyal", """2_NB"", ""3_CB"", ""5_NN"", ""6_CN"", ""8_NM"", ""9_CM""",""""&amp;VLOOKUP(M291,Alignements!$A$2:$B$10,2, FALSE)&amp;""""))))))</f>
        <v>"1_LB", "2_NB", "3_CB", "4_LN", "5_NN", "6_CN", "7_LM", "8_NM", "9_CM"</v>
      </c>
      <c r="O291" s="298"/>
      <c r="P291" t="str">
        <f t="shared" si="14"/>
        <v>"Expert (niv 1)": {
  "Name" : "Expert (niv 1)",
  "VO" : "Expert (lvl 1)",
  "Family" : "HUMANOID",
  "Species" : [""],
  "FP" : "0", 
  "Size" : "M",
  "AC" : 14,
  "HP" : 11, 
  "Speed" : "",
  "Alignments" : ["1_LB", "2_NB", "3_CB", "4_LN", "5_NN", "6_CN", "7_LM", "8_NM", "9_CM"],
  "Legendary" : ""}</v>
      </c>
    </row>
    <row r="292" spans="1:16">
      <c r="A292" s="61" t="s">
        <v>4650</v>
      </c>
      <c r="B292" s="297" t="s">
        <v>4651</v>
      </c>
      <c r="C292" s="305">
        <v>0</v>
      </c>
      <c r="D292" s="297" t="s">
        <v>4108</v>
      </c>
      <c r="E292" s="297" t="str">
        <f t="shared" si="12"/>
        <v>Humanoïde</v>
      </c>
      <c r="F292" s="297" t="str">
        <f>VLOOKUP(E292,'Types de monstres'!$A$2:$B$17,2,FALSE)</f>
        <v>HUMANOID</v>
      </c>
      <c r="G292" s="297" t="str">
        <f t="shared" si="13"/>
        <v>toute race</v>
      </c>
      <c r="H292" s="297" t="str">
        <f>IF(OR(G292="",G292="toute race"),"",VLOOKUP(G292,'Types de monstres'!$F$2:$G$49,2,FALSE))</f>
        <v/>
      </c>
      <c r="I292" s="297" t="s">
        <v>4091</v>
      </c>
      <c r="J292" s="302">
        <v>14</v>
      </c>
      <c r="K292" s="302">
        <v>16</v>
      </c>
      <c r="L292" s="297"/>
      <c r="M292" s="297" t="s">
        <v>4109</v>
      </c>
      <c r="N292" s="297" t="str">
        <f>IF(M292="sans alignement","",IF(M292="tout alignement", """1_LB"", ""2_NB"", ""3_CB"", ""4_LN"", ""5_NN"", ""6_CN"", ""7_LM"", ""8_NM"", ""9_CM""",IF(M292="tout alignement non bon", """4_LN"", ""5_NN"", ""6_CN"", ""7_LM"", ""8_NM"", ""9_CM""",IF(M292="tout alignement mauvais", """7_LM"", ""8_NM"", ""9_CM""",IF(M292="tout alignement chaotique", """3_CB"", ""6_CN"", ""9_CM""",IF(M292="tout alignement non loyal", """2_NB"", ""3_CB"", ""5_NN"", ""6_CN"", ""8_NM"", ""9_CM""",""""&amp;VLOOKUP(M292,Alignements!$A$2:$B$10,2, FALSE)&amp;""""))))))</f>
        <v>"1_LB", "2_NB", "3_CB", "4_LN", "5_NN", "6_CN", "7_LM", "8_NM", "9_CM"</v>
      </c>
      <c r="O292" s="297"/>
      <c r="P292" t="str">
        <f t="shared" si="14"/>
        <v>"Expert (niv 2)": {
  "Name" : "Expert (niv 2)",
  "VO" : "Expert (lvl 2)",
  "Family" : "HUMANOID",
  "Species" : [""],
  "FP" : "0", 
  "Size" : "M",
  "AC" : 14,
  "HP" : 16, 
  "Speed" : "",
  "Alignments" : ["1_LB", "2_NB", "3_CB", "4_LN", "5_NN", "6_CN", "7_LM", "8_NM", "9_CM"],
  "Legendary" : ""}</v>
      </c>
    </row>
    <row r="293" spans="1:16">
      <c r="A293" s="61" t="s">
        <v>4652</v>
      </c>
      <c r="B293" s="298" t="s">
        <v>4653</v>
      </c>
      <c r="C293" s="306">
        <v>0</v>
      </c>
      <c r="D293" s="298" t="s">
        <v>4108</v>
      </c>
      <c r="E293" s="297" t="str">
        <f t="shared" si="12"/>
        <v>Humanoïde</v>
      </c>
      <c r="F293" s="297" t="str">
        <f>VLOOKUP(E293,'Types de monstres'!$A$2:$B$17,2,FALSE)</f>
        <v>HUMANOID</v>
      </c>
      <c r="G293" s="297" t="str">
        <f t="shared" si="13"/>
        <v>toute race</v>
      </c>
      <c r="H293" s="297" t="str">
        <f>IF(OR(G293="",G293="toute race"),"",VLOOKUP(G293,'Types de monstres'!$F$2:$G$49,2,FALSE))</f>
        <v/>
      </c>
      <c r="I293" s="298" t="s">
        <v>4091</v>
      </c>
      <c r="J293" s="300">
        <v>14</v>
      </c>
      <c r="K293" s="300">
        <v>22</v>
      </c>
      <c r="L293" s="298"/>
      <c r="M293" s="298" t="s">
        <v>4109</v>
      </c>
      <c r="N293" s="297" t="str">
        <f>IF(M293="sans alignement","",IF(M293="tout alignement", """1_LB"", ""2_NB"", ""3_CB"", ""4_LN"", ""5_NN"", ""6_CN"", ""7_LM"", ""8_NM"", ""9_CM""",IF(M293="tout alignement non bon", """4_LN"", ""5_NN"", ""6_CN"", ""7_LM"", ""8_NM"", ""9_CM""",IF(M293="tout alignement mauvais", """7_LM"", ""8_NM"", ""9_CM""",IF(M293="tout alignement chaotique", """3_CB"", ""6_CN"", ""9_CM""",IF(M293="tout alignement non loyal", """2_NB"", ""3_CB"", ""5_NN"", ""6_CN"", ""8_NM"", ""9_CM""",""""&amp;VLOOKUP(M293,Alignements!$A$2:$B$10,2, FALSE)&amp;""""))))))</f>
        <v>"1_LB", "2_NB", "3_CB", "4_LN", "5_NN", "6_CN", "7_LM", "8_NM", "9_CM"</v>
      </c>
      <c r="O293" s="298"/>
      <c r="P293" t="str">
        <f t="shared" si="14"/>
        <v>"Expert (niv 3)": {
  "Name" : "Expert (niv 3)",
  "VO" : "Expert (lvl 3)",
  "Family" : "HUMANOID",
  "Species" : [""],
  "FP" : "0", 
  "Size" : "M",
  "AC" : 14,
  "HP" : 22, 
  "Speed" : "",
  "Alignments" : ["1_LB", "2_NB", "3_CB", "4_LN", "5_NN", "6_CN", "7_LM", "8_NM", "9_CM"],
  "Legendary" : ""}</v>
      </c>
    </row>
    <row r="294" spans="1:16">
      <c r="A294" s="61" t="s">
        <v>4654</v>
      </c>
      <c r="B294" s="297" t="s">
        <v>4655</v>
      </c>
      <c r="C294" s="305">
        <v>0</v>
      </c>
      <c r="D294" s="297" t="s">
        <v>4108</v>
      </c>
      <c r="E294" s="297" t="str">
        <f t="shared" si="12"/>
        <v>Humanoïde</v>
      </c>
      <c r="F294" s="297" t="str">
        <f>VLOOKUP(E294,'Types de monstres'!$A$2:$B$17,2,FALSE)</f>
        <v>HUMANOID</v>
      </c>
      <c r="G294" s="297" t="str">
        <f t="shared" si="13"/>
        <v>toute race</v>
      </c>
      <c r="H294" s="297" t="str">
        <f>IF(OR(G294="",G294="toute race"),"",VLOOKUP(G294,'Types de monstres'!$F$2:$G$49,2,FALSE))</f>
        <v/>
      </c>
      <c r="I294" s="297" t="s">
        <v>4091</v>
      </c>
      <c r="J294" s="302">
        <v>14</v>
      </c>
      <c r="K294" s="302">
        <v>27</v>
      </c>
      <c r="L294" s="297"/>
      <c r="M294" s="297" t="s">
        <v>4109</v>
      </c>
      <c r="N294" s="297" t="str">
        <f>IF(M294="sans alignement","",IF(M294="tout alignement", """1_LB"", ""2_NB"", ""3_CB"", ""4_LN"", ""5_NN"", ""6_CN"", ""7_LM"", ""8_NM"", ""9_CM""",IF(M294="tout alignement non bon", """4_LN"", ""5_NN"", ""6_CN"", ""7_LM"", ""8_NM"", ""9_CM""",IF(M294="tout alignement mauvais", """7_LM"", ""8_NM"", ""9_CM""",IF(M294="tout alignement chaotique", """3_CB"", ""6_CN"", ""9_CM""",IF(M294="tout alignement non loyal", """2_NB"", ""3_CB"", ""5_NN"", ""6_CN"", ""8_NM"", ""9_CM""",""""&amp;VLOOKUP(M294,Alignements!$A$2:$B$10,2, FALSE)&amp;""""))))))</f>
        <v>"1_LB", "2_NB", "3_CB", "4_LN", "5_NN", "6_CN", "7_LM", "8_NM", "9_CM"</v>
      </c>
      <c r="O294" s="297"/>
      <c r="P294" t="str">
        <f t="shared" si="14"/>
        <v>"Expert (niv 4)": {
  "Name" : "Expert (niv 4)",
  "VO" : "Expert (lvl 4)",
  "Family" : "HUMANOID",
  "Species" : [""],
  "FP" : "0", 
  "Size" : "M",
  "AC" : 14,
  "HP" : 27, 
  "Speed" : "",
  "Alignments" : ["1_LB", "2_NB", "3_CB", "4_LN", "5_NN", "6_CN", "7_LM", "8_NM", "9_CM"],
  "Legendary" : ""}</v>
      </c>
    </row>
    <row r="295" spans="1:16">
      <c r="A295" s="61" t="s">
        <v>4656</v>
      </c>
      <c r="B295" s="298" t="s">
        <v>4657</v>
      </c>
      <c r="C295" s="306">
        <v>0</v>
      </c>
      <c r="D295" s="298" t="s">
        <v>4108</v>
      </c>
      <c r="E295" s="297" t="str">
        <f t="shared" si="12"/>
        <v>Humanoïde</v>
      </c>
      <c r="F295" s="297" t="str">
        <f>VLOOKUP(E295,'Types de monstres'!$A$2:$B$17,2,FALSE)</f>
        <v>HUMANOID</v>
      </c>
      <c r="G295" s="297" t="str">
        <f t="shared" si="13"/>
        <v>toute race</v>
      </c>
      <c r="H295" s="297" t="str">
        <f>IF(OR(G295="",G295="toute race"),"",VLOOKUP(G295,'Types de monstres'!$F$2:$G$49,2,FALSE))</f>
        <v/>
      </c>
      <c r="I295" s="298" t="s">
        <v>4091</v>
      </c>
      <c r="J295" s="300">
        <v>14</v>
      </c>
      <c r="K295" s="300">
        <v>33</v>
      </c>
      <c r="L295" s="298"/>
      <c r="M295" s="298" t="s">
        <v>4109</v>
      </c>
      <c r="N295" s="297" t="str">
        <f>IF(M295="sans alignement","",IF(M295="tout alignement", """1_LB"", ""2_NB"", ""3_CB"", ""4_LN"", ""5_NN"", ""6_CN"", ""7_LM"", ""8_NM"", ""9_CM""",IF(M295="tout alignement non bon", """4_LN"", ""5_NN"", ""6_CN"", ""7_LM"", ""8_NM"", ""9_CM""",IF(M295="tout alignement mauvais", """7_LM"", ""8_NM"", ""9_CM""",IF(M295="tout alignement chaotique", """3_CB"", ""6_CN"", ""9_CM""",IF(M295="tout alignement non loyal", """2_NB"", ""3_CB"", ""5_NN"", ""6_CN"", ""8_NM"", ""9_CM""",""""&amp;VLOOKUP(M295,Alignements!$A$2:$B$10,2, FALSE)&amp;""""))))))</f>
        <v>"1_LB", "2_NB", "3_CB", "4_LN", "5_NN", "6_CN", "7_LM", "8_NM", "9_CM"</v>
      </c>
      <c r="O295" s="298"/>
      <c r="P295" t="str">
        <f t="shared" si="14"/>
        <v>"Expert (niv 5)": {
  "Name" : "Expert (niv 5)",
  "VO" : "Expert (lvl 5)",
  "Family" : "HUMANOID",
  "Species" : [""],
  "FP" : "0", 
  "Size" : "M",
  "AC" : 14,
  "HP" : 33, 
  "Speed" : "",
  "Alignments" : ["1_LB", "2_NB", "3_CB", "4_LN", "5_NN", "6_CN", "7_LM", "8_NM", "9_CM"],
  "Legendary" : ""}</v>
      </c>
    </row>
    <row r="296" spans="1:16">
      <c r="A296" s="61" t="s">
        <v>4658</v>
      </c>
      <c r="B296" s="297" t="s">
        <v>4659</v>
      </c>
      <c r="C296" s="305">
        <v>0</v>
      </c>
      <c r="D296" s="297" t="s">
        <v>4108</v>
      </c>
      <c r="E296" s="297" t="str">
        <f t="shared" si="12"/>
        <v>Humanoïde</v>
      </c>
      <c r="F296" s="297" t="str">
        <f>VLOOKUP(E296,'Types de monstres'!$A$2:$B$17,2,FALSE)</f>
        <v>HUMANOID</v>
      </c>
      <c r="G296" s="297" t="str">
        <f t="shared" si="13"/>
        <v>toute race</v>
      </c>
      <c r="H296" s="297" t="str">
        <f>IF(OR(G296="",G296="toute race"),"",VLOOKUP(G296,'Types de monstres'!$F$2:$G$49,2,FALSE))</f>
        <v/>
      </c>
      <c r="I296" s="297" t="s">
        <v>4091</v>
      </c>
      <c r="J296" s="302">
        <v>14</v>
      </c>
      <c r="K296" s="302">
        <v>38</v>
      </c>
      <c r="L296" s="297"/>
      <c r="M296" s="297" t="s">
        <v>4109</v>
      </c>
      <c r="N296" s="297" t="str">
        <f>IF(M296="sans alignement","",IF(M296="tout alignement", """1_LB"", ""2_NB"", ""3_CB"", ""4_LN"", ""5_NN"", ""6_CN"", ""7_LM"", ""8_NM"", ""9_CM""",IF(M296="tout alignement non bon", """4_LN"", ""5_NN"", ""6_CN"", ""7_LM"", ""8_NM"", ""9_CM""",IF(M296="tout alignement mauvais", """7_LM"", ""8_NM"", ""9_CM""",IF(M296="tout alignement chaotique", """3_CB"", ""6_CN"", ""9_CM""",IF(M296="tout alignement non loyal", """2_NB"", ""3_CB"", ""5_NN"", ""6_CN"", ""8_NM"", ""9_CM""",""""&amp;VLOOKUP(M296,Alignements!$A$2:$B$10,2, FALSE)&amp;""""))))))</f>
        <v>"1_LB", "2_NB", "3_CB", "4_LN", "5_NN", "6_CN", "7_LM", "8_NM", "9_CM"</v>
      </c>
      <c r="O296" s="297"/>
      <c r="P296" t="str">
        <f t="shared" si="14"/>
        <v>"Expert (niv 6)": {
  "Name" : "Expert (niv 6)",
  "VO" : "Expert (lvl 6)",
  "Family" : "HUMANOID",
  "Species" : [""],
  "FP" : "0", 
  "Size" : "M",
  "AC" : 14,
  "HP" : 38, 
  "Speed" : "",
  "Alignments" : ["1_LB", "2_NB", "3_CB", "4_LN", "5_NN", "6_CN", "7_LM", "8_NM", "9_CM"],
  "Legendary" : ""}</v>
      </c>
    </row>
    <row r="297" spans="1:16">
      <c r="A297" s="61" t="s">
        <v>4660</v>
      </c>
      <c r="B297" s="298" t="s">
        <v>4661</v>
      </c>
      <c r="C297" s="306">
        <v>3</v>
      </c>
      <c r="D297" s="298" t="s">
        <v>4108</v>
      </c>
      <c r="E297" s="297" t="str">
        <f t="shared" si="12"/>
        <v>Humanoïde</v>
      </c>
      <c r="F297" s="297" t="str">
        <f>VLOOKUP(E297,'Types de monstres'!$A$2:$B$17,2,FALSE)</f>
        <v>HUMANOID</v>
      </c>
      <c r="G297" s="297" t="str">
        <f t="shared" si="13"/>
        <v>toute race</v>
      </c>
      <c r="H297" s="297" t="str">
        <f>IF(OR(G297="",G297="toute race"),"",VLOOKUP(G297,'Types de monstres'!$F$2:$G$49,2,FALSE))</f>
        <v/>
      </c>
      <c r="I297" s="298" t="s">
        <v>4091</v>
      </c>
      <c r="J297" s="300">
        <v>16</v>
      </c>
      <c r="K297" s="300">
        <v>60</v>
      </c>
      <c r="L297" s="298"/>
      <c r="M297" s="298" t="s">
        <v>4109</v>
      </c>
      <c r="N297" s="297" t="str">
        <f>IF(M297="sans alignement","",IF(M297="tout alignement", """1_LB"", ""2_NB"", ""3_CB"", ""4_LN"", ""5_NN"", ""6_CN"", ""7_LM"", ""8_NM"", ""9_CM""",IF(M297="tout alignement non bon", """4_LN"", ""5_NN"", ""6_CN"", ""7_LM"", ""8_NM"", ""9_CM""",IF(M297="tout alignement mauvais", """7_LM"", ""8_NM"", ""9_CM""",IF(M297="tout alignement chaotique", """3_CB"", ""6_CN"", ""9_CM""",IF(M297="tout alignement non loyal", """2_NB"", ""3_CB"", ""5_NN"", ""6_CN"", ""8_NM"", ""9_CM""",""""&amp;VLOOKUP(M297,Alignements!$A$2:$B$10,2, FALSE)&amp;""""))))))</f>
        <v>"1_LB", "2_NB", "3_CB", "4_LN", "5_NN", "6_CN", "7_LM", "8_NM", "9_CM"</v>
      </c>
      <c r="O297" s="298"/>
      <c r="P297" t="str">
        <f t="shared" si="14"/>
        <v>"Expert en arts martiaux": {
  "Name" : "Expert en arts martiaux",
  "VO" : "Martial Arts Adept",
  "Family" : "HUMANOID",
  "Species" : [""],
  "FP" : "3", 
  "Size" : "M",
  "AC" : 16,
  "HP" : 60, 
  "Speed" : "",
  "Alignments" : ["1_LB", "2_NB", "3_CB", "4_LN", "5_NN", "6_CN", "7_LM", "8_NM", "9_CM"],
  "Legendary" : ""}</v>
      </c>
    </row>
    <row r="298" spans="1:16" ht="21">
      <c r="A298" s="61" t="s">
        <v>4662</v>
      </c>
      <c r="B298" s="297" t="s">
        <v>4663</v>
      </c>
      <c r="C298" s="305">
        <v>2</v>
      </c>
      <c r="D298" s="297" t="s">
        <v>4108</v>
      </c>
      <c r="E298" s="297" t="str">
        <f t="shared" si="12"/>
        <v>Humanoïde</v>
      </c>
      <c r="F298" s="297" t="str">
        <f>VLOOKUP(E298,'Types de monstres'!$A$2:$B$17,2,FALSE)</f>
        <v>HUMANOID</v>
      </c>
      <c r="G298" s="297" t="str">
        <f t="shared" si="13"/>
        <v>toute race</v>
      </c>
      <c r="H298" s="297" t="str">
        <f>IF(OR(G298="",G298="toute race"),"",VLOOKUP(G298,'Types de monstres'!$F$2:$G$49,2,FALSE))</f>
        <v/>
      </c>
      <c r="I298" s="297" t="s">
        <v>4091</v>
      </c>
      <c r="J298" s="302">
        <v>13</v>
      </c>
      <c r="K298" s="302">
        <v>33</v>
      </c>
      <c r="L298" s="297"/>
      <c r="M298" s="297" t="s">
        <v>4182</v>
      </c>
      <c r="N298" s="297" t="str">
        <f>IF(M298="sans alignement","",IF(M298="tout alignement", """1_LB"", ""2_NB"", ""3_CB"", ""4_LN"", ""5_NN"", ""6_CN"", ""7_LM"", ""8_NM"", ""9_CM""",IF(M298="tout alignement non bon", """4_LN"", ""5_NN"", ""6_CN"", ""7_LM"", ""8_NM"", ""9_CM""",IF(M298="tout alignement mauvais", """7_LM"", ""8_NM"", ""9_CM""",IF(M298="tout alignement chaotique", """3_CB"", ""6_CN"", ""9_CM""",IF(M298="tout alignement non loyal", """2_NB"", ""3_CB"", ""5_NN"", ""6_CN"", ""8_NM"", ""9_CM""",""""&amp;VLOOKUP(M298,Alignements!$A$2:$B$10,2, FALSE)&amp;""""))))))</f>
        <v>"4_LN", "5_NN", "6_CN", "7_LM", "8_NM", "9_CM"</v>
      </c>
      <c r="O298" s="297"/>
      <c r="P298" t="str">
        <f t="shared" si="14"/>
        <v>"Fanatique": {
  "Name" : "Fanatique",
  "VO" : "Cult Fanatic",
  "Family" : "HUMANOID",
  "Species" : [""],
  "FP" : "2", 
  "Size" : "M",
  "AC" : 13,
  "HP" : 33, 
  "Speed" : "",
  "Alignments" : ["4_LN", "5_NN", "6_CN", "7_LM", "8_NM", "9_CM"],
  "Legendary" : ""}</v>
      </c>
    </row>
    <row r="299" spans="1:16">
      <c r="A299" s="61" t="s">
        <v>4664</v>
      </c>
      <c r="B299" s="298" t="s">
        <v>4665</v>
      </c>
      <c r="C299" s="306">
        <v>4</v>
      </c>
      <c r="D299" s="298" t="s">
        <v>4117</v>
      </c>
      <c r="E299" s="297" t="str">
        <f t="shared" si="12"/>
        <v>Mort-vivant</v>
      </c>
      <c r="F299" s="297" t="str">
        <f>VLOOKUP(E299,'Types de monstres'!$A$2:$B$17,2,FALSE)</f>
        <v>UNDEAD</v>
      </c>
      <c r="G299" s="297" t="str">
        <f t="shared" si="13"/>
        <v/>
      </c>
      <c r="H299" s="297" t="str">
        <f>IF(OR(G299="",G299="toute race"),"",VLOOKUP(G299,'Types de monstres'!$F$2:$G$49,2,FALSE))</f>
        <v/>
      </c>
      <c r="I299" s="298" t="s">
        <v>4091</v>
      </c>
      <c r="J299" s="300">
        <v>11</v>
      </c>
      <c r="K299" s="300">
        <v>45</v>
      </c>
      <c r="L299" s="298" t="s">
        <v>4092</v>
      </c>
      <c r="M299" s="298" t="s">
        <v>4109</v>
      </c>
      <c r="N299" s="297" t="str">
        <f>IF(M299="sans alignement","",IF(M299="tout alignement", """1_LB"", ""2_NB"", ""3_CB"", ""4_LN"", ""5_NN"", ""6_CN"", ""7_LM"", ""8_NM"", ""9_CM""",IF(M299="tout alignement non bon", """4_LN"", ""5_NN"", ""6_CN"", ""7_LM"", ""8_NM"", ""9_CM""",IF(M299="tout alignement mauvais", """7_LM"", ""8_NM"", ""9_CM""",IF(M299="tout alignement chaotique", """3_CB"", ""6_CN"", ""9_CM""",IF(M299="tout alignement non loyal", """2_NB"", ""3_CB"", ""5_NN"", ""6_CN"", ""8_NM"", ""9_CM""",""""&amp;VLOOKUP(M299,Alignements!$A$2:$B$10,2, FALSE)&amp;""""))))))</f>
        <v>"1_LB", "2_NB", "3_CB", "4_LN", "5_NN", "6_CN", "7_LM", "8_NM", "9_CM"</v>
      </c>
      <c r="O299" s="298"/>
      <c r="P299" t="str">
        <f t="shared" si="14"/>
        <v>"Fantôme": {
  "Name" : "Fantôme",
  "VO" : "Ghost",
  "Family" : "UNDEAD",
  "Species" : [""],
  "FP" : "4", 
  "Size" : "M",
  "AC" : 11,
  "HP" : 45, 
  "Speed" : "vol",
  "Alignments" : ["1_LB", "2_NB", "3_CB", "4_LN", "5_NN", "6_CN", "7_LM", "8_NM", "9_CM"],
  "Legendary" : ""}</v>
      </c>
    </row>
    <row r="300" spans="1:16">
      <c r="A300" s="61" t="s">
        <v>4666</v>
      </c>
      <c r="B300" s="297" t="s">
        <v>4667</v>
      </c>
      <c r="C300" s="305">
        <v>2</v>
      </c>
      <c r="D300" s="297" t="s">
        <v>4242</v>
      </c>
      <c r="E300" s="297" t="str">
        <f t="shared" si="12"/>
        <v>Humanoïde</v>
      </c>
      <c r="F300" s="297" t="str">
        <f>VLOOKUP(E300,'Types de monstres'!$A$2:$B$17,2,FALSE)</f>
        <v>HUMANOID</v>
      </c>
      <c r="G300" s="297" t="str">
        <f t="shared" si="13"/>
        <v>humain</v>
      </c>
      <c r="H300" s="297" t="str">
        <f>IF(OR(G300="",G300="toute race"),"",VLOOKUP(G300,'Types de monstres'!$F$2:$G$49,2,FALSE))</f>
        <v>HUMAN</v>
      </c>
      <c r="I300" s="297" t="s">
        <v>4091</v>
      </c>
      <c r="J300" s="302">
        <v>15</v>
      </c>
      <c r="K300" s="302">
        <v>27</v>
      </c>
      <c r="L300" s="297"/>
      <c r="M300" s="297" t="s">
        <v>4137</v>
      </c>
      <c r="N300" s="297" t="str">
        <f>IF(M300="sans alignement","",IF(M300="tout alignement", """1_LB"", ""2_NB"", ""3_CB"", ""4_LN"", ""5_NN"", ""6_CN"", ""7_LM"", ""8_NM"", ""9_CM""",IF(M300="tout alignement non bon", """4_LN"", ""5_NN"", ""6_CN"", ""7_LM"", ""8_NM"", ""9_CM""",IF(M300="tout alignement mauvais", """7_LM"", ""8_NM"", ""9_CM""",IF(M300="tout alignement chaotique", """3_CB"", ""6_CN"", ""9_CM""",IF(M300="tout alignement non loyal", """2_NB"", ""3_CB"", ""5_NN"", ""6_CN"", ""8_NM"", ""9_CM""",""""&amp;VLOOKUP(M300,Alignements!$A$2:$B$10,2, FALSE)&amp;""""))))))</f>
        <v>"9_CM"</v>
      </c>
      <c r="O300" s="297"/>
      <c r="P300" t="str">
        <f t="shared" si="14"/>
        <v>"Faucheur de Bhaal": {
  "Name" : "Faucheur de Bhaal",
  "VO" : "Reaper of Bhaal",
  "Family" : "HUMANOID",
  "Species" : ["HUMAN"],
  "FP" : "2", 
  "Size" : "M",
  "AC" : 15,
  "HP" : 27, 
  "Speed" : "",
  "Alignments" : ["9_CM"],
  "Legendary" : ""}</v>
      </c>
    </row>
    <row r="301" spans="1:16">
      <c r="A301" s="61" t="s">
        <v>4668</v>
      </c>
      <c r="B301" s="298" t="s">
        <v>4669</v>
      </c>
      <c r="C301" s="306">
        <v>0</v>
      </c>
      <c r="D301" s="298" t="s">
        <v>4128</v>
      </c>
      <c r="E301" s="297" t="str">
        <f t="shared" si="12"/>
        <v>Bête</v>
      </c>
      <c r="F301" s="297" t="str">
        <f>VLOOKUP(E301,'Types de monstres'!$A$2:$B$17,2,FALSE)</f>
        <v>BEAST</v>
      </c>
      <c r="G301" s="297" t="str">
        <f t="shared" si="13"/>
        <v/>
      </c>
      <c r="H301" s="297" t="str">
        <f>IF(OR(G301="",G301="toute race"),"",VLOOKUP(G301,'Types de monstres'!$F$2:$G$49,2,FALSE))</f>
        <v/>
      </c>
      <c r="I301" s="298" t="s">
        <v>4154</v>
      </c>
      <c r="J301" s="300">
        <v>13</v>
      </c>
      <c r="K301" s="300">
        <v>1</v>
      </c>
      <c r="L301" s="298" t="s">
        <v>4092</v>
      </c>
      <c r="M301" s="298" t="s">
        <v>4130</v>
      </c>
      <c r="N301" s="297" t="str">
        <f>IF(M301="sans alignement","",IF(M301="tout alignement", """1_LB"", ""2_NB"", ""3_CB"", ""4_LN"", ""5_NN"", ""6_CN"", ""7_LM"", ""8_NM"", ""9_CM""",IF(M301="tout alignement non bon", """4_LN"", ""5_NN"", ""6_CN"", ""7_LM"", ""8_NM"", ""9_CM""",IF(M301="tout alignement mauvais", """7_LM"", ""8_NM"", ""9_CM""",IF(M301="tout alignement chaotique", """3_CB"", ""6_CN"", ""9_CM""",IF(M301="tout alignement non loyal", """2_NB"", ""3_CB"", ""5_NN"", ""6_CN"", ""8_NM"", ""9_CM""",""""&amp;VLOOKUP(M301,Alignements!$A$2:$B$10,2, FALSE)&amp;""""))))))</f>
        <v/>
      </c>
      <c r="O301" s="298"/>
      <c r="P301" t="str">
        <f t="shared" si="14"/>
        <v>"Faucon": {
  "Name" : "Faucon",
  "VO" : "Hawk",
  "Family" : "BEAST",
  "Species" : [""],
  "FP" : "0", 
  "Size" : "TP",
  "AC" : 13,
  "HP" : 1, 
  "Speed" : "vol",
  "Alignments" : [],
  "Legendary" : ""}</v>
      </c>
    </row>
    <row r="302" spans="1:16">
      <c r="A302" s="61" t="s">
        <v>4670</v>
      </c>
      <c r="B302" s="297" t="s">
        <v>4671</v>
      </c>
      <c r="C302" s="305" t="s">
        <v>5619</v>
      </c>
      <c r="D302" s="297" t="s">
        <v>4128</v>
      </c>
      <c r="E302" s="297" t="str">
        <f t="shared" si="12"/>
        <v>Bête</v>
      </c>
      <c r="F302" s="297" t="str">
        <f>VLOOKUP(E302,'Types de monstres'!$A$2:$B$17,2,FALSE)</f>
        <v>BEAST</v>
      </c>
      <c r="G302" s="297" t="str">
        <f t="shared" si="13"/>
        <v/>
      </c>
      <c r="H302" s="297" t="str">
        <f>IF(OR(G302="",G302="toute race"),"",VLOOKUP(G302,'Types de monstres'!$F$2:$G$49,2,FALSE))</f>
        <v/>
      </c>
      <c r="I302" s="297" t="s">
        <v>4129</v>
      </c>
      <c r="J302" s="302">
        <v>12</v>
      </c>
      <c r="K302" s="302">
        <v>7</v>
      </c>
      <c r="L302" s="297" t="s">
        <v>4092</v>
      </c>
      <c r="M302" s="297" t="s">
        <v>4130</v>
      </c>
      <c r="N302" s="297" t="str">
        <f>IF(M302="sans alignement","",IF(M302="tout alignement", """1_LB"", ""2_NB"", ""3_CB"", ""4_LN"", ""5_NN"", ""6_CN"", ""7_LM"", ""8_NM"", ""9_CM""",IF(M302="tout alignement non bon", """4_LN"", ""5_NN"", ""6_CN"", ""7_LM"", ""8_NM"", ""9_CM""",IF(M302="tout alignement mauvais", """7_LM"", ""8_NM"", ""9_CM""",IF(M302="tout alignement chaotique", """3_CB"", ""6_CN"", ""9_CM""",IF(M302="tout alignement non loyal", """2_NB"", ""3_CB"", ""5_NN"", ""6_CN"", ""8_NM"", ""9_CM""",""""&amp;VLOOKUP(M302,Alignements!$A$2:$B$10,2, FALSE)&amp;""""))))))</f>
        <v/>
      </c>
      <c r="O302" s="297"/>
      <c r="P302" t="str">
        <f t="shared" si="14"/>
        <v>"Faucon de sang": {
  "Name" : "Faucon de sang",
  "VO" : "Blood Hawk",
  "Family" : "BEAST",
  "Species" : [""],
  "FP" : "1/8", 
  "Size" : "P",
  "AC" : 12,
  "HP" : 7, 
  "Speed" : "vol",
  "Alignments" : [],
  "Legendary" : ""}</v>
      </c>
    </row>
    <row r="303" spans="1:16">
      <c r="A303" s="61" t="s">
        <v>4672</v>
      </c>
      <c r="B303" s="298" t="s">
        <v>4673</v>
      </c>
      <c r="C303" s="306" t="s">
        <v>5619</v>
      </c>
      <c r="D303" s="298" t="s">
        <v>4253</v>
      </c>
      <c r="E303" s="297" t="str">
        <f t="shared" si="12"/>
        <v>Fée</v>
      </c>
      <c r="F303" s="297" t="str">
        <f>VLOOKUP(E303,'Types de monstres'!$A$2:$B$17,2,FALSE)</f>
        <v>FAIRY</v>
      </c>
      <c r="G303" s="297" t="str">
        <f t="shared" si="13"/>
        <v/>
      </c>
      <c r="H303" s="297" t="str">
        <f>IF(OR(G303="",G303="toute race"),"",VLOOKUP(G303,'Types de monstres'!$F$2:$G$49,2,FALSE))</f>
        <v/>
      </c>
      <c r="I303" s="298" t="s">
        <v>4154</v>
      </c>
      <c r="J303" s="300">
        <v>14</v>
      </c>
      <c r="K303" s="300">
        <v>10</v>
      </c>
      <c r="L303" s="298" t="s">
        <v>4092</v>
      </c>
      <c r="M303" s="298" t="s">
        <v>4193</v>
      </c>
      <c r="N303" s="297" t="str">
        <f>IF(M303="sans alignement","",IF(M303="tout alignement", """1_LB"", ""2_NB"", ""3_CB"", ""4_LN"", ""5_NN"", ""6_CN"", ""7_LM"", ""8_NM"", ""9_CM""",IF(M303="tout alignement non bon", """4_LN"", ""5_NN"", ""6_CN"", ""7_LM"", ""8_NM"", ""9_CM""",IF(M303="tout alignement mauvais", """7_LM"", ""8_NM"", ""9_CM""",IF(M303="tout alignement chaotique", """3_CB"", ""6_CN"", ""9_CM""",IF(M303="tout alignement non loyal", """2_NB"", ""3_CB"", ""5_NN"", ""6_CN"", ""8_NM"", ""9_CM""",""""&amp;VLOOKUP(M303,Alignements!$A$2:$B$10,2, FALSE)&amp;""""))))))</f>
        <v>"5_NN"</v>
      </c>
      <c r="O303" s="298"/>
      <c r="P303" t="str">
        <f t="shared" si="14"/>
        <v>"Faucon du Valénar": {
  "Name" : "Faucon du Valénar",
  "VO" : "Valenar Hawk",
  "Family" : "FAIRY",
  "Species" : [""],
  "FP" : "1/8", 
  "Size" : "TP",
  "AC" : 14,
  "HP" : 10, 
  "Speed" : "vol",
  "Alignments" : ["5_NN"],
  "Legendary" : ""}</v>
      </c>
    </row>
    <row r="304" spans="1:16">
      <c r="A304" s="301" t="s">
        <v>4674</v>
      </c>
      <c r="B304" s="297" t="s">
        <v>4675</v>
      </c>
      <c r="C304" s="305" t="s">
        <v>5620</v>
      </c>
      <c r="D304" s="297" t="s">
        <v>4676</v>
      </c>
      <c r="E304" s="297" t="str">
        <f t="shared" si="12"/>
        <v>Humanoïde</v>
      </c>
      <c r="F304" s="297" t="str">
        <f>VLOOKUP(E304,'Types de monstres'!$A$2:$B$17,2,FALSE)</f>
        <v>HUMANOID</v>
      </c>
      <c r="G304" s="297" t="str">
        <f t="shared" si="13"/>
        <v>féral</v>
      </c>
      <c r="H304" s="297" t="str">
        <f>IF(OR(G304="",G304="toute race"),"",VLOOKUP(G304,'Types de monstres'!$F$2:$G$49,2,FALSE))</f>
        <v>FERAL</v>
      </c>
      <c r="I304" s="297" t="s">
        <v>4091</v>
      </c>
      <c r="J304" s="302">
        <v>14</v>
      </c>
      <c r="K304" s="302">
        <v>19</v>
      </c>
      <c r="L304" s="297"/>
      <c r="M304" s="297" t="s">
        <v>4109</v>
      </c>
      <c r="N304" s="297" t="str">
        <f>IF(M304="sans alignement","",IF(M304="tout alignement", """1_LB"", ""2_NB"", ""3_CB"", ""4_LN"", ""5_NN"", ""6_CN"", ""7_LM"", ""8_NM"", ""9_CM""",IF(M304="tout alignement non bon", """4_LN"", ""5_NN"", ""6_CN"", ""7_LM"", ""8_NM"", ""9_CM""",IF(M304="tout alignement mauvais", """7_LM"", ""8_NM"", ""9_CM""",IF(M304="tout alignement chaotique", """3_CB"", ""6_CN"", ""9_CM""",IF(M304="tout alignement non loyal", """2_NB"", ""3_CB"", ""5_NN"", ""6_CN"", ""8_NM"", ""9_CM""",""""&amp;VLOOKUP(M304,Alignements!$A$2:$B$10,2, FALSE)&amp;""""))))))</f>
        <v>"1_LB", "2_NB", "3_CB", "4_LN", "5_NN", "6_CN", "7_LM", "8_NM", "9_CM"</v>
      </c>
      <c r="O304" s="297"/>
      <c r="P304" t="str">
        <f t="shared" si="14"/>
        <v>"Féral": {
  "Name" : "Féral",
  "VO" : "Shifter",
  "Family" : "HUMANOID",
  "Species" : ["FERAL"],
  "FP" : "1/2", 
  "Size" : "M",
  "AC" : 14,
  "HP" : 19, 
  "Speed" : "",
  "Alignments" : ["1_LB", "2_NB", "3_CB", "4_LN", "5_NN", "6_CN", "7_LM", "8_NM", "9_CM"],
  "Legendary" : ""}</v>
      </c>
    </row>
    <row r="305" spans="1:16">
      <c r="A305" s="61" t="s">
        <v>4677</v>
      </c>
      <c r="B305" s="298" t="s">
        <v>4678</v>
      </c>
      <c r="C305" s="306">
        <v>2</v>
      </c>
      <c r="D305" s="298" t="s">
        <v>4117</v>
      </c>
      <c r="E305" s="297" t="str">
        <f t="shared" si="12"/>
        <v>Mort-vivant</v>
      </c>
      <c r="F305" s="297" t="str">
        <f>VLOOKUP(E305,'Types de monstres'!$A$2:$B$17,2,FALSE)</f>
        <v>UNDEAD</v>
      </c>
      <c r="G305" s="297" t="str">
        <f t="shared" si="13"/>
        <v/>
      </c>
      <c r="H305" s="297" t="str">
        <f>IF(OR(G305="",G305="toute race"),"",VLOOKUP(G305,'Types de monstres'!$F$2:$G$49,2,FALSE))</f>
        <v/>
      </c>
      <c r="I305" s="298" t="s">
        <v>4154</v>
      </c>
      <c r="J305" s="300">
        <v>19</v>
      </c>
      <c r="K305" s="300">
        <v>22</v>
      </c>
      <c r="L305" s="298" t="s">
        <v>4092</v>
      </c>
      <c r="M305" s="298" t="s">
        <v>4137</v>
      </c>
      <c r="N305" s="297" t="str">
        <f>IF(M305="sans alignement","",IF(M305="tout alignement", """1_LB"", ""2_NB"", ""3_CB"", ""4_LN"", ""5_NN"", ""6_CN"", ""7_LM"", ""8_NM"", ""9_CM""",IF(M305="tout alignement non bon", """4_LN"", ""5_NN"", ""6_CN"", ""7_LM"", ""8_NM"", ""9_CM""",IF(M305="tout alignement mauvais", """7_LM"", ""8_NM"", ""9_CM""",IF(M305="tout alignement chaotique", """3_CB"", ""6_CN"", ""9_CM""",IF(M305="tout alignement non loyal", """2_NB"", ""3_CB"", ""5_NN"", ""6_CN"", ""8_NM"", ""9_CM""",""""&amp;VLOOKUP(M305,Alignements!$A$2:$B$10,2, FALSE)&amp;""""))))))</f>
        <v>"9_CM"</v>
      </c>
      <c r="O305" s="298"/>
      <c r="P305" t="str">
        <f t="shared" si="14"/>
        <v>"Feu follet": {
  "Name" : "Feu follet",
  "VO" : "Will-o'-Wisp",
  "Family" : "UNDEAD",
  "Species" : [""],
  "FP" : "2", 
  "Size" : "TP",
  "AC" : 19,
  "HP" : 22, 
  "Speed" : "vol",
  "Alignments" : ["9_CM"],
  "Legendary" : ""}</v>
      </c>
    </row>
    <row r="306" spans="1:16" ht="21">
      <c r="A306" s="61" t="s">
        <v>4679</v>
      </c>
      <c r="B306" s="297" t="s">
        <v>4680</v>
      </c>
      <c r="C306" s="305">
        <v>1</v>
      </c>
      <c r="D306" s="297" t="s">
        <v>4242</v>
      </c>
      <c r="E306" s="297" t="str">
        <f t="shared" si="12"/>
        <v>Humanoïde</v>
      </c>
      <c r="F306" s="297" t="str">
        <f>VLOOKUP(E306,'Types de monstres'!$A$2:$B$17,2,FALSE)</f>
        <v>HUMANOID</v>
      </c>
      <c r="G306" s="297" t="str">
        <f t="shared" si="13"/>
        <v>humain</v>
      </c>
      <c r="H306" s="297" t="str">
        <f>IF(OR(G306="",G306="toute race"),"",VLOOKUP(G306,'Types de monstres'!$F$2:$G$49,2,FALSE))</f>
        <v>HUMAN</v>
      </c>
      <c r="I306" s="297" t="s">
        <v>4091</v>
      </c>
      <c r="J306" s="302">
        <v>12</v>
      </c>
      <c r="K306" s="302">
        <v>32</v>
      </c>
      <c r="L306" s="297"/>
      <c r="M306" s="297" t="s">
        <v>4118</v>
      </c>
      <c r="N306" s="297" t="str">
        <f>IF(M306="sans alignement","",IF(M306="tout alignement", """1_LB"", ""2_NB"", ""3_CB"", ""4_LN"", ""5_NN"", ""6_CN"", ""7_LM"", ""8_NM"", ""9_CM""",IF(M306="tout alignement non bon", """4_LN"", ""5_NN"", ""6_CN"", ""7_LM"", ""8_NM"", ""9_CM""",IF(M306="tout alignement mauvais", """7_LM"", ""8_NM"", ""9_CM""",IF(M306="tout alignement chaotique", """3_CB"", ""6_CN"", ""9_CM""",IF(M306="tout alignement non loyal", """2_NB"", ""3_CB"", ""5_NN"", ""6_CN"", ""8_NM"", ""9_CM""",""""&amp;VLOOKUP(M306,Alignements!$A$2:$B$10,2, FALSE)&amp;""""))))))</f>
        <v>"8_NM"</v>
      </c>
      <c r="O306" s="297"/>
      <c r="P306" t="str">
        <f t="shared" si="14"/>
        <v>"Flagelleur des crânes de Myrkul": {
  "Name" : "Flagelleur des crânes de Myrkul",
  "VO" : "Skull Lasher of Myrkul",
  "Family" : "HUMANOID",
  "Species" : ["HUMAN"],
  "FP" : "1", 
  "Size" : "M",
  "AC" : 12,
  "HP" : 32, 
  "Speed" : "",
  "Alignments" : ["8_NM"],
  "Legendary" : ""}</v>
      </c>
    </row>
    <row r="307" spans="1:16">
      <c r="A307" s="61" t="s">
        <v>4681</v>
      </c>
      <c r="B307" s="298" t="s">
        <v>4682</v>
      </c>
      <c r="C307" s="306">
        <v>7</v>
      </c>
      <c r="D307" s="298" t="s">
        <v>4111</v>
      </c>
      <c r="E307" s="297" t="str">
        <f t="shared" si="12"/>
        <v>Aberration</v>
      </c>
      <c r="F307" s="297" t="str">
        <f>VLOOKUP(E307,'Types de monstres'!$A$2:$B$17,2,FALSE)</f>
        <v>ABERRATION</v>
      </c>
      <c r="G307" s="297" t="str">
        <f t="shared" si="13"/>
        <v/>
      </c>
      <c r="H307" s="297" t="str">
        <f>IF(OR(G307="",G307="toute race"),"",VLOOKUP(G307,'Types de monstres'!$F$2:$G$49,2,FALSE))</f>
        <v/>
      </c>
      <c r="I307" s="298" t="s">
        <v>4091</v>
      </c>
      <c r="J307" s="300">
        <v>15</v>
      </c>
      <c r="K307" s="300">
        <v>71</v>
      </c>
      <c r="L307" s="298"/>
      <c r="M307" s="298" t="s">
        <v>4097</v>
      </c>
      <c r="N307" s="297" t="str">
        <f>IF(M307="sans alignement","",IF(M307="tout alignement", """1_LB"", ""2_NB"", ""3_CB"", ""4_LN"", ""5_NN"", ""6_CN"", ""7_LM"", ""8_NM"", ""9_CM""",IF(M307="tout alignement non bon", """4_LN"", ""5_NN"", ""6_CN"", ""7_LM"", ""8_NM"", ""9_CM""",IF(M307="tout alignement mauvais", """7_LM"", ""8_NM"", ""9_CM""",IF(M307="tout alignement chaotique", """3_CB"", ""6_CN"", ""9_CM""",IF(M307="tout alignement non loyal", """2_NB"", ""3_CB"", ""5_NN"", ""6_CN"", ""8_NM"", ""9_CM""",""""&amp;VLOOKUP(M307,Alignements!$A$2:$B$10,2, FALSE)&amp;""""))))))</f>
        <v>"7_LM"</v>
      </c>
      <c r="O307" s="298"/>
      <c r="P307" t="str">
        <f t="shared" si="14"/>
        <v>"Flagelleur mental": {
  "Name" : "Flagelleur mental",
  "VO" : "Mind Flayer",
  "Family" : "ABERRATION",
  "Species" : [""],
  "FP" : "7", 
  "Size" : "M",
  "AC" : 15,
  "HP" : 71, 
  "Speed" : "",
  "Alignments" : ["7_LM"],
  "Legendary" : ""}</v>
      </c>
    </row>
    <row r="308" spans="1:16">
      <c r="A308" s="301" t="s">
        <v>4683</v>
      </c>
      <c r="B308" s="297" t="s">
        <v>4684</v>
      </c>
      <c r="C308" s="305">
        <v>8</v>
      </c>
      <c r="D308" s="297" t="s">
        <v>4167</v>
      </c>
      <c r="E308" s="297" t="str">
        <f t="shared" si="12"/>
        <v>Plante</v>
      </c>
      <c r="F308" s="297" t="str">
        <f>VLOOKUP(E308,'Types de monstres'!$A$2:$B$17,2,FALSE)</f>
        <v>PLANT</v>
      </c>
      <c r="G308" s="297" t="str">
        <f t="shared" si="13"/>
        <v/>
      </c>
      <c r="H308" s="297" t="str">
        <f>IF(OR(G308="",G308="toute race"),"",VLOOKUP(G308,'Types de monstres'!$F$2:$G$49,2,FALSE))</f>
        <v/>
      </c>
      <c r="I308" s="297" t="s">
        <v>4112</v>
      </c>
      <c r="J308" s="302">
        <v>12</v>
      </c>
      <c r="K308" s="302">
        <v>127</v>
      </c>
      <c r="L308" s="297"/>
      <c r="M308" s="297" t="s">
        <v>4137</v>
      </c>
      <c r="N308" s="297" t="str">
        <f>IF(M308="sans alignement","",IF(M308="tout alignement", """1_LB"", ""2_NB"", ""3_CB"", ""4_LN"", ""5_NN"", ""6_CN"", ""7_LM"", ""8_NM"", ""9_CM""",IF(M308="tout alignement non bon", """4_LN"", ""5_NN"", ""6_CN"", ""7_LM"", ""8_NM"", ""9_CM""",IF(M308="tout alignement mauvais", """7_LM"", ""8_NM"", ""9_CM""",IF(M308="tout alignement chaotique", """3_CB"", ""6_CN"", ""9_CM""",IF(M308="tout alignement non loyal", """2_NB"", ""3_CB"", ""5_NN"", ""6_CN"", ""8_NM"", ""9_CM""",""""&amp;VLOOKUP(M308,Alignements!$A$2:$B$10,2, FALSE)&amp;""""))))))</f>
        <v>"9_CM"</v>
      </c>
      <c r="O308" s="297"/>
      <c r="P308" t="str">
        <f t="shared" si="14"/>
        <v>"Fleur charognarde": {
  "Name" : "Fleur charognarde",
  "VO" : "Corpse Flower",
  "Family" : "PLANT",
  "Species" : [""],
  "FP" : "8", 
  "Size" : "G",
  "AC" : 12,
  "HP" : 127, 
  "Speed" : "",
  "Alignments" : ["9_CM"],
  "Legendary" : ""}</v>
      </c>
    </row>
    <row r="309" spans="1:16">
      <c r="A309" s="61" t="s">
        <v>4685</v>
      </c>
      <c r="B309" s="298" t="s">
        <v>4685</v>
      </c>
      <c r="C309" s="306">
        <v>9</v>
      </c>
      <c r="D309" s="298" t="s">
        <v>4686</v>
      </c>
      <c r="E309" s="297" t="str">
        <f t="shared" si="12"/>
        <v>Humanoïde</v>
      </c>
      <c r="F309" s="297" t="str">
        <f>VLOOKUP(E309,'Types de monstres'!$A$2:$B$17,2,FALSE)</f>
        <v>HUMANOID</v>
      </c>
      <c r="G309" s="297" t="str">
        <f t="shared" si="13"/>
        <v>gnoll</v>
      </c>
      <c r="H309" s="297" t="str">
        <f>IF(OR(G309="",G309="toute race"),"",VLOOKUP(G309,'Types de monstres'!$F$2:$G$49,2,FALSE))</f>
        <v>GNOLL</v>
      </c>
      <c r="I309" s="298" t="s">
        <v>4091</v>
      </c>
      <c r="J309" s="300">
        <v>16</v>
      </c>
      <c r="K309" s="300">
        <v>127</v>
      </c>
      <c r="L309" s="298"/>
      <c r="M309" s="298" t="s">
        <v>4137</v>
      </c>
      <c r="N309" s="297" t="str">
        <f>IF(M309="sans alignement","",IF(M309="tout alignement", """1_LB"", ""2_NB"", ""3_CB"", ""4_LN"", ""5_NN"", ""6_CN"", ""7_LM"", ""8_NM"", ""9_CM""",IF(M309="tout alignement non bon", """4_LN"", ""5_NN"", ""6_CN"", ""7_LM"", ""8_NM"", ""9_CM""",IF(M309="tout alignement mauvais", """7_LM"", ""8_NM"", ""9_CM""",IF(M309="tout alignement chaotique", """3_CB"", ""6_CN"", ""9_CM""",IF(M309="tout alignement non loyal", """2_NB"", ""3_CB"", ""5_NN"", ""6_CN"", ""8_NM"", ""9_CM""",""""&amp;VLOOKUP(M309,Alignements!$A$2:$B$10,2, FALSE)&amp;""""))))))</f>
        <v>"9_CM"</v>
      </c>
      <c r="O309" s="298"/>
      <c r="P309" t="str">
        <f t="shared" si="14"/>
        <v>"Flind": {
  "Name" : "Flind",
  "VO" : "Flind",
  "Family" : "HUMANOID",
  "Species" : ["GNOLL"],
  "FP" : "9", 
  "Size" : "M",
  "AC" : 16,
  "HP" : 127, 
  "Speed" : "",
  "Alignments" : ["9_CM"],
  "Legendary" : ""}</v>
      </c>
    </row>
    <row r="310" spans="1:16">
      <c r="A310" s="61" t="s">
        <v>4687</v>
      </c>
      <c r="B310" s="297" t="s">
        <v>4687</v>
      </c>
      <c r="C310" s="305" t="s">
        <v>5619</v>
      </c>
      <c r="D310" s="297" t="s">
        <v>4111</v>
      </c>
      <c r="E310" s="297" t="str">
        <f t="shared" si="12"/>
        <v>Aberration</v>
      </c>
      <c r="F310" s="297" t="str">
        <f>VLOOKUP(E310,'Types de monstres'!$A$2:$B$17,2,FALSE)</f>
        <v>ABERRATION</v>
      </c>
      <c r="G310" s="297" t="str">
        <f t="shared" si="13"/>
        <v/>
      </c>
      <c r="H310" s="297" t="str">
        <f>IF(OR(G310="",G310="toute race"),"",VLOOKUP(G310,'Types de monstres'!$F$2:$G$49,2,FALSE))</f>
        <v/>
      </c>
      <c r="I310" s="297" t="s">
        <v>4129</v>
      </c>
      <c r="J310" s="302">
        <v>12</v>
      </c>
      <c r="K310" s="302">
        <v>7</v>
      </c>
      <c r="L310" s="297" t="s">
        <v>4092</v>
      </c>
      <c r="M310" s="297" t="s">
        <v>4318</v>
      </c>
      <c r="N310" s="297" t="str">
        <f>IF(M310="sans alignement","",IF(M310="tout alignement", """1_LB"", ""2_NB"", ""3_CB"", ""4_LN"", ""5_NN"", ""6_CN"", ""7_LM"", ""8_NM"", ""9_CM""",IF(M310="tout alignement non bon", """4_LN"", ""5_NN"", ""6_CN"", ""7_LM"", ""8_NM"", ""9_CM""",IF(M310="tout alignement mauvais", """7_LM"", ""8_NM"", ""9_CM""",IF(M310="tout alignement chaotique", """3_CB"", ""6_CN"", ""9_CM""",IF(M310="tout alignement non loyal", """2_NB"", ""3_CB"", ""5_NN"", ""6_CN"", ""8_NM"", ""9_CM""",""""&amp;VLOOKUP(M310,Alignements!$A$2:$B$10,2, FALSE)&amp;""""))))))</f>
        <v>"1_LB"</v>
      </c>
      <c r="O310" s="297"/>
      <c r="P310" t="str">
        <f t="shared" si="14"/>
        <v>"Flumph": {
  "Name" : "Flumph",
  "VO" : "Flumph",
  "Family" : "ABERRATION",
  "Species" : [""],
  "FP" : "1/8", 
  "Size" : "P",
  "AC" : 12,
  "HP" : 7, 
  "Speed" : "vol",
  "Alignments" : ["1_LB"],
  "Legendary" : ""}</v>
      </c>
    </row>
    <row r="311" spans="1:16">
      <c r="A311" s="61" t="s">
        <v>4688</v>
      </c>
      <c r="B311" s="298" t="s">
        <v>4689</v>
      </c>
      <c r="C311" s="306">
        <v>8</v>
      </c>
      <c r="D311" s="298" t="s">
        <v>2584</v>
      </c>
      <c r="E311" s="297" t="str">
        <f t="shared" si="12"/>
        <v>Géant</v>
      </c>
      <c r="F311" s="297" t="str">
        <f>VLOOKUP(E311,'Types de monstres'!$A$2:$B$17,2,FALSE)</f>
        <v>GIANT</v>
      </c>
      <c r="G311" s="297" t="str">
        <f t="shared" si="13"/>
        <v/>
      </c>
      <c r="H311" s="297" t="str">
        <f>IF(OR(G311="",G311="toute race"),"",VLOOKUP(G311,'Types de monstres'!$F$2:$G$49,2,FALSE))</f>
        <v/>
      </c>
      <c r="I311" s="298" t="s">
        <v>4149</v>
      </c>
      <c r="J311" s="300">
        <v>14</v>
      </c>
      <c r="K311" s="300">
        <v>149</v>
      </c>
      <c r="L311" s="298"/>
      <c r="M311" s="298" t="s">
        <v>4137</v>
      </c>
      <c r="N311" s="297" t="str">
        <f>IF(M311="sans alignement","",IF(M311="tout alignement", """1_LB"", ""2_NB"", ""3_CB"", ""4_LN"", ""5_NN"", ""6_CN"", ""7_LM"", ""8_NM"", ""9_CM""",IF(M311="tout alignement non bon", """4_LN"", ""5_NN"", ""6_CN"", ""7_LM"", ""8_NM"", ""9_CM""",IF(M311="tout alignement mauvais", """7_LM"", ""8_NM"", ""9_CM""",IF(M311="tout alignement chaotique", """3_CB"", ""6_CN"", ""9_CM""",IF(M311="tout alignement non loyal", """2_NB"", ""3_CB"", ""5_NN"", ""6_CN"", ""8_NM"", ""9_CM""",""""&amp;VLOOKUP(M311,Alignements!$A$2:$B$10,2, FALSE)&amp;""""))))))</f>
        <v>"9_CM"</v>
      </c>
      <c r="O311" s="298"/>
      <c r="P311" t="str">
        <f t="shared" si="14"/>
        <v>"Fomorien": {
  "Name" : "Fomorien",
  "VO" : "Fomorian",
  "Family" : "GIANT",
  "Species" : [""],
  "FP" : "8", 
  "Size" : "TG",
  "AC" : 14,
  "HP" : 149, 
  "Speed" : "",
  "Alignments" : ["9_CM"],
  "Legendary" : ""}</v>
      </c>
    </row>
    <row r="312" spans="1:16" ht="21">
      <c r="A312" s="301" t="s">
        <v>4690</v>
      </c>
      <c r="B312" s="297" t="s">
        <v>4691</v>
      </c>
      <c r="C312" s="305">
        <v>25</v>
      </c>
      <c r="D312" s="297" t="s">
        <v>4181</v>
      </c>
      <c r="E312" s="297" t="str">
        <f t="shared" si="12"/>
        <v>Créature artificielle</v>
      </c>
      <c r="F312" s="297" t="str">
        <f>VLOOKUP(E312,'Types de monstres'!$A$2:$B$17,2,FALSE)</f>
        <v>ARTIFICIAL_CREATURE</v>
      </c>
      <c r="G312" s="297" t="str">
        <f t="shared" si="13"/>
        <v/>
      </c>
      <c r="H312" s="297" t="str">
        <f>IF(OR(G312="",G312="toute race"),"",VLOOKUP(G312,'Types de monstres'!$F$2:$G$49,2,FALSE))</f>
        <v/>
      </c>
      <c r="I312" s="297" t="s">
        <v>4371</v>
      </c>
      <c r="J312" s="302">
        <v>23</v>
      </c>
      <c r="K312" s="302">
        <v>410</v>
      </c>
      <c r="L312" s="297"/>
      <c r="M312" s="297" t="s">
        <v>4130</v>
      </c>
      <c r="N312" s="297" t="str">
        <f>IF(M312="sans alignement","",IF(M312="tout alignement", """1_LB"", ""2_NB"", ""3_CB"", ""4_LN"", ""5_NN"", ""6_CN"", ""7_LM"", ""8_NM"", ""9_CM""",IF(M312="tout alignement non bon", """4_LN"", ""5_NN"", ""6_CN"", ""7_LM"", ""8_NM"", ""9_CM""",IF(M312="tout alignement mauvais", """7_LM"", ""8_NM"", ""9_CM""",IF(M312="tout alignement chaotique", """3_CB"", ""6_CN"", ""9_CM""",IF(M312="tout alignement non loyal", """2_NB"", ""3_CB"", ""5_NN"", ""6_CN"", ""8_NM"", ""9_CM""",""""&amp;VLOOKUP(M312,Alignements!$A$2:$B$10,2, FALSE)&amp;""""))))))</f>
        <v/>
      </c>
      <c r="O312" s="297"/>
      <c r="P312" t="str">
        <f t="shared" si="14"/>
        <v>"Forgelier, colosse": {
  "Name" : "Forgelier, colosse",
  "VO" : "Warforged Colossus",
  "Family" : "ARTIFICIAL_CREATURE",
  "Species" : [""],
  "FP" : "25", 
  "Size" : "Gig",
  "AC" : 23,
  "HP" : 410, 
  "Speed" : "",
  "Alignments" : [],
  "Legendary" : ""}</v>
      </c>
    </row>
    <row r="313" spans="1:16">
      <c r="A313" s="299" t="s">
        <v>4692</v>
      </c>
      <c r="B313" s="298" t="s">
        <v>4693</v>
      </c>
      <c r="C313" s="306">
        <v>1</v>
      </c>
      <c r="D313" s="298" t="s">
        <v>4386</v>
      </c>
      <c r="E313" s="297" t="str">
        <f t="shared" si="12"/>
        <v>Humanoïde</v>
      </c>
      <c r="F313" s="297" t="str">
        <f>VLOOKUP(E313,'Types de monstres'!$A$2:$B$17,2,FALSE)</f>
        <v>HUMANOID</v>
      </c>
      <c r="G313" s="297" t="str">
        <f t="shared" si="13"/>
        <v>forgelier</v>
      </c>
      <c r="H313" s="297" t="str">
        <f>IF(OR(G313="",G313="toute race"),"",VLOOKUP(G313,'Types de monstres'!$F$2:$G$49,2,FALSE))</f>
        <v>WARFORGED</v>
      </c>
      <c r="I313" s="298" t="s">
        <v>4091</v>
      </c>
      <c r="J313" s="300">
        <v>16</v>
      </c>
      <c r="K313" s="300">
        <v>30</v>
      </c>
      <c r="L313" s="298"/>
      <c r="M313" s="298" t="s">
        <v>4109</v>
      </c>
      <c r="N313" s="297" t="str">
        <f>IF(M313="sans alignement","",IF(M313="tout alignement", """1_LB"", ""2_NB"", ""3_CB"", ""4_LN"", ""5_NN"", ""6_CN"", ""7_LM"", ""8_NM"", ""9_CM""",IF(M313="tout alignement non bon", """4_LN"", ""5_NN"", ""6_CN"", ""7_LM"", ""8_NM"", ""9_CM""",IF(M313="tout alignement mauvais", """7_LM"", ""8_NM"", ""9_CM""",IF(M313="tout alignement chaotique", """3_CB"", ""6_CN"", ""9_CM""",IF(M313="tout alignement non loyal", """2_NB"", ""3_CB"", ""5_NN"", ""6_CN"", ""8_NM"", ""9_CM""",""""&amp;VLOOKUP(M313,Alignements!$A$2:$B$10,2, FALSE)&amp;""""))))))</f>
        <v>"1_LB", "2_NB", "3_CB", "4_LN", "5_NN", "6_CN", "7_LM", "8_NM", "9_CM"</v>
      </c>
      <c r="O313" s="298"/>
      <c r="P313" t="str">
        <f t="shared" si="14"/>
        <v>"Forgelier, soldat": {
  "Name" : "Forgelier, soldat",
  "VO" : "Warforged Soldier",
  "Family" : "HUMANOID",
  "Species" : ["WARFORGED"],
  "FP" : "1", 
  "Size" : "M",
  "AC" : 16,
  "HP" : 30, 
  "Speed" : "",
  "Alignments" : ["1_LB", "2_NB", "3_CB", "4_LN", "5_NN", "6_CN", "7_LM", "8_NM", "9_CM"],
  "Legendary" : ""}</v>
      </c>
    </row>
    <row r="314" spans="1:16">
      <c r="A314" s="61" t="s">
        <v>4694</v>
      </c>
      <c r="B314" s="297" t="s">
        <v>4695</v>
      </c>
      <c r="C314" s="305">
        <v>8</v>
      </c>
      <c r="D314" s="297" t="s">
        <v>4181</v>
      </c>
      <c r="E314" s="297" t="str">
        <f t="shared" si="12"/>
        <v>Créature artificielle</v>
      </c>
      <c r="F314" s="297" t="str">
        <f>VLOOKUP(E314,'Types de monstres'!$A$2:$B$17,2,FALSE)</f>
        <v>ARTIFICIAL_CREATURE</v>
      </c>
      <c r="G314" s="297" t="str">
        <f t="shared" si="13"/>
        <v/>
      </c>
      <c r="H314" s="297" t="str">
        <f>IF(OR(G314="",G314="toute race"),"",VLOOKUP(G314,'Types de monstres'!$F$2:$G$49,2,FALSE))</f>
        <v/>
      </c>
      <c r="I314" s="297" t="s">
        <v>4149</v>
      </c>
      <c r="J314" s="302">
        <v>20</v>
      </c>
      <c r="K314" s="302">
        <v>125</v>
      </c>
      <c r="L314" s="297"/>
      <c r="M314" s="297" t="s">
        <v>4145</v>
      </c>
      <c r="N314" s="297" t="str">
        <f>IF(M314="sans alignement","",IF(M314="tout alignement", """1_LB"", ""2_NB"", ""3_CB"", ""4_LN"", ""5_NN"", ""6_CN"", ""7_LM"", ""8_NM"", ""9_CM""",IF(M314="tout alignement non bon", """4_LN"", ""5_NN"", ""6_CN"", ""7_LM"", ""8_NM"", ""9_CM""",IF(M314="tout alignement mauvais", """7_LM"", ""8_NM"", ""9_CM""",IF(M314="tout alignement chaotique", """3_CB"", ""6_CN"", ""9_CM""",IF(M314="tout alignement non loyal", """2_NB"", ""3_CB"", ""5_NN"", ""6_CN"", ""8_NM"", ""9_CM""",""""&amp;VLOOKUP(M314,Alignements!$A$2:$B$10,2, FALSE)&amp;""""))))))</f>
        <v>"4_LN"</v>
      </c>
      <c r="O314" s="297"/>
      <c r="P314" t="str">
        <f t="shared" si="14"/>
        <v>"Forgelier, titan": {
  "Name" : "Forgelier, titan",
  "VO" : "Warforged Titan",
  "Family" : "ARTIFICIAL_CREATURE",
  "Species" : [""],
  "FP" : "8", 
  "Size" : "TG",
  "AC" : 20,
  "HP" : 125, 
  "Speed" : "",
  "Alignments" : ["4_LN"],
  "Legendary" : ""}</v>
      </c>
    </row>
    <row r="315" spans="1:16">
      <c r="A315" s="299" t="s">
        <v>4696</v>
      </c>
      <c r="B315" s="298" t="s">
        <v>4696</v>
      </c>
      <c r="C315" s="306">
        <v>23</v>
      </c>
      <c r="D315" s="298" t="s">
        <v>4136</v>
      </c>
      <c r="E315" s="297" t="str">
        <f t="shared" si="12"/>
        <v>Fiélon</v>
      </c>
      <c r="F315" s="297" t="str">
        <f>VLOOKUP(E315,'Types de monstres'!$A$2:$B$17,2,FALSE)</f>
        <v>FIEND</v>
      </c>
      <c r="G315" s="297" t="str">
        <f t="shared" si="13"/>
        <v>démon</v>
      </c>
      <c r="H315" s="297" t="str">
        <f>IF(OR(G315="",G315="toute race"),"",VLOOKUP(G315,'Types de monstres'!$F$2:$G$49,2,FALSE))</f>
        <v>DAEMON</v>
      </c>
      <c r="I315" s="298" t="s">
        <v>4112</v>
      </c>
      <c r="J315" s="300">
        <v>18</v>
      </c>
      <c r="K315" s="300">
        <v>337</v>
      </c>
      <c r="L315" s="298" t="s">
        <v>4092</v>
      </c>
      <c r="M315" s="298" t="s">
        <v>4137</v>
      </c>
      <c r="N315" s="297" t="str">
        <f>IF(M315="sans alignement","",IF(M315="tout alignement", """1_LB"", ""2_NB"", ""3_CB"", ""4_LN"", ""5_NN"", ""6_CN"", ""7_LM"", ""8_NM"", ""9_CM""",IF(M315="tout alignement non bon", """4_LN"", ""5_NN"", ""6_CN"", ""7_LM"", ""8_NM"", ""9_CM""",IF(M315="tout alignement mauvais", """7_LM"", ""8_NM"", ""9_CM""",IF(M315="tout alignement chaotique", """3_CB"", ""6_CN"", ""9_CM""",IF(M315="tout alignement non loyal", """2_NB"", ""3_CB"", ""5_NN"", ""6_CN"", ""8_NM"", ""9_CM""",""""&amp;VLOOKUP(M315,Alignements!$A$2:$B$10,2, FALSE)&amp;""""))))))</f>
        <v>"9_CM"</v>
      </c>
      <c r="O315" s="298"/>
      <c r="P315" t="str">
        <f t="shared" si="14"/>
        <v>"Fraz-Urb'luu": {
  "Name" : "Fraz-Urb'luu",
  "VO" : "Fraz-Urb'luu",
  "Family" : "FIEND",
  "Species" : ["DAEMON"],
  "FP" : "23", 
  "Size" : "G",
  "AC" : 18,
  "HP" : 337, 
  "Speed" : "vol",
  "Alignments" : ["9_CM"],
  "Legendary" : ""}</v>
      </c>
    </row>
    <row r="316" spans="1:16">
      <c r="A316" s="61" t="s">
        <v>4697</v>
      </c>
      <c r="B316" s="297" t="s">
        <v>4698</v>
      </c>
      <c r="C316" s="305">
        <v>10</v>
      </c>
      <c r="D316" s="297" t="s">
        <v>4121</v>
      </c>
      <c r="E316" s="297" t="str">
        <f t="shared" si="12"/>
        <v>Créature monstrueuse</v>
      </c>
      <c r="F316" s="297" t="str">
        <f>VLOOKUP(E316,'Types de monstres'!$A$2:$B$17,2,FALSE)</f>
        <v>MONSTROUS_CREATURE</v>
      </c>
      <c r="G316" s="297" t="str">
        <f t="shared" si="13"/>
        <v/>
      </c>
      <c r="H316" s="297" t="str">
        <f>IF(OR(G316="",G316="toute race"),"",VLOOKUP(G316,'Types de monstres'!$F$2:$G$49,2,FALSE))</f>
        <v/>
      </c>
      <c r="I316" s="297" t="s">
        <v>4149</v>
      </c>
      <c r="J316" s="302">
        <v>14</v>
      </c>
      <c r="K316" s="302">
        <v>184</v>
      </c>
      <c r="L316" s="297" t="s">
        <v>4113</v>
      </c>
      <c r="M316" s="297" t="s">
        <v>4130</v>
      </c>
      <c r="N316" s="297" t="str">
        <f>IF(M316="sans alignement","",IF(M316="tout alignement", """1_LB"", ""2_NB"", ""3_CB"", ""4_LN"", ""5_NN"", ""6_CN"", ""7_LM"", ""8_NM"", ""9_CM""",IF(M316="tout alignement non bon", """4_LN"", ""5_NN"", ""6_CN"", ""7_LM"", ""8_NM"", ""9_CM""",IF(M316="tout alignement mauvais", """7_LM"", ""8_NM"", ""9_CM""",IF(M316="tout alignement chaotique", """3_CB"", ""6_CN"", ""9_CM""",IF(M316="tout alignement non loyal", """2_NB"", ""3_CB"", ""5_NN"", ""6_CN"", ""8_NM"", ""9_CM""",""""&amp;VLOOKUP(M316,Alignements!$A$2:$B$10,2, FALSE)&amp;""""))))))</f>
        <v/>
      </c>
      <c r="O316" s="297"/>
      <c r="P316" t="str">
        <f t="shared" si="14"/>
        <v>"Froghémoth": {
  "Name" : "Froghémoth",
  "VO" : "Froghemoth",
  "Family" : "MONSTROUS_CREATURE",
  "Species" : [""],
  "FP" : "10", 
  "Size" : "TG",
  "AC" : 14,
  "HP" : 184, 
  "Speed" : "nage",
  "Alignments" : [],
  "Legendary" : ""}</v>
      </c>
    </row>
    <row r="317" spans="1:16">
      <c r="A317" s="299" t="s">
        <v>4699</v>
      </c>
      <c r="B317" s="298" t="s">
        <v>4700</v>
      </c>
      <c r="C317" s="306">
        <v>12</v>
      </c>
      <c r="D317" s="298" t="s">
        <v>4253</v>
      </c>
      <c r="E317" s="297" t="str">
        <f t="shared" si="12"/>
        <v>Fée</v>
      </c>
      <c r="F317" s="297" t="str">
        <f>VLOOKUP(E317,'Types de monstres'!$A$2:$B$17,2,FALSE)</f>
        <v>FAIRY</v>
      </c>
      <c r="G317" s="297" t="str">
        <f t="shared" si="13"/>
        <v/>
      </c>
      <c r="H317" s="297" t="str">
        <f>IF(OR(G317="",G317="toute race"),"",VLOOKUP(G317,'Types de monstres'!$F$2:$G$49,2,FALSE))</f>
        <v/>
      </c>
      <c r="I317" s="298" t="s">
        <v>4091</v>
      </c>
      <c r="J317" s="300">
        <v>14</v>
      </c>
      <c r="K317" s="300">
        <v>105</v>
      </c>
      <c r="L317" s="298" t="s">
        <v>4113</v>
      </c>
      <c r="M317" s="298" t="s">
        <v>4137</v>
      </c>
      <c r="N317" s="297" t="str">
        <f>IF(M317="sans alignement","",IF(M317="tout alignement", """1_LB"", ""2_NB"", ""3_CB"", ""4_LN"", ""5_NN"", ""6_CN"", ""7_LM"", ""8_NM"", ""9_CM""",IF(M317="tout alignement non bon", """4_LN"", ""5_NN"", ""6_CN"", ""7_LM"", ""8_NM"", ""9_CM""",IF(M317="tout alignement mauvais", """7_LM"", ""8_NM"", ""9_CM""",IF(M317="tout alignement chaotique", """3_CB"", ""6_CN"", ""9_CM""",IF(M317="tout alignement non loyal", """2_NB"", ""3_CB"", ""5_NN"", ""6_CN"", ""8_NM"", ""9_CM""",""""&amp;VLOOKUP(M317,Alignements!$A$2:$B$10,2, FALSE)&amp;""""))))))</f>
        <v>"9_CM"</v>
      </c>
      <c r="O317" s="298"/>
      <c r="P317" t="str">
        <f t="shared" si="14"/>
        <v>"Furie des mers": {
  "Name" : "Furie des mers",
  "VO" : "Sea Fury",
  "Family" : "FAIRY",
  "Species" : [""],
  "FP" : "12", 
  "Size" : "M",
  "AC" : 14,
  "HP" : 105, 
  "Speed" : "nage",
  "Alignments" : ["9_CM"],
  "Legendary" : ""}</v>
      </c>
    </row>
    <row r="318" spans="1:16">
      <c r="A318" s="301" t="s">
        <v>4701</v>
      </c>
      <c r="B318" s="297" t="s">
        <v>4702</v>
      </c>
      <c r="C318" s="305" t="s">
        <v>5620</v>
      </c>
      <c r="D318" s="297" t="s">
        <v>4703</v>
      </c>
      <c r="E318" s="297" t="str">
        <f t="shared" si="12"/>
        <v>Humanoïde</v>
      </c>
      <c r="F318" s="297" t="str">
        <f>VLOOKUP(E318,'Types de monstres'!$A$2:$B$17,2,FALSE)</f>
        <v>HUMANOID</v>
      </c>
      <c r="G318" s="297" t="str">
        <f t="shared" si="13"/>
        <v/>
      </c>
      <c r="H318" s="297" t="str">
        <f>IF(OR(G318="",G318="toute race"),"",VLOOKUP(G318,'Types de monstres'!$F$2:$G$49,2,FALSE))</f>
        <v/>
      </c>
      <c r="I318" s="297" t="s">
        <v>4091</v>
      </c>
      <c r="J318" s="302">
        <v>14</v>
      </c>
      <c r="K318" s="302">
        <v>18</v>
      </c>
      <c r="L318" s="297"/>
      <c r="M318" s="297" t="s">
        <v>4243</v>
      </c>
      <c r="N318" s="297" t="str">
        <f>IF(M318="sans alignement","",IF(M318="tout alignement", """1_LB"", ""2_NB"", ""3_CB"", ""4_LN"", ""5_NN"", ""6_CN"", ""7_LM"", ""8_NM"", ""9_CM""",IF(M318="tout alignement non bon", """4_LN"", ""5_NN"", ""6_CN"", ""7_LM"", ""8_NM"", ""9_CM""",IF(M318="tout alignement mauvais", """7_LM"", ""8_NM"", ""9_CM""",IF(M318="tout alignement chaotique", """3_CB"", ""6_CN"", ""9_CM""",IF(M318="tout alignement non loyal", """2_NB"", ""3_CB"", ""5_NN"", ""6_CN"", ""8_NM"", ""9_CM""",""""&amp;VLOOKUP(M318,Alignements!$A$2:$B$10,2, FALSE)&amp;""""))))))</f>
        <v>"6_CN"</v>
      </c>
      <c r="O318" s="297"/>
      <c r="P318" t="str">
        <f t="shared" si="14"/>
        <v>"Furte": {
  "Name" : "Furte",
  "VO" : "Skulk",
  "Family" : "HUMANOID",
  "Species" : [""],
  "FP" : "1/2", 
  "Size" : "M",
  "AC" : 14,
  "HP" : 18, 
  "Speed" : "",
  "Alignments" : ["6_CN"],
  "Legendary" : ""}</v>
      </c>
    </row>
    <row r="319" spans="1:16">
      <c r="A319" s="61" t="s">
        <v>4704</v>
      </c>
      <c r="B319" s="298" t="s">
        <v>4705</v>
      </c>
      <c r="C319" s="306">
        <v>6</v>
      </c>
      <c r="D319" s="298" t="s">
        <v>4189</v>
      </c>
      <c r="E319" s="297" t="str">
        <f t="shared" si="12"/>
        <v>Élémentaire</v>
      </c>
      <c r="F319" s="297" t="str">
        <f>VLOOKUP(E319,'Types de monstres'!$A$2:$B$17,2,FALSE)</f>
        <v>ELEMENTARY</v>
      </c>
      <c r="G319" s="297" t="str">
        <f t="shared" si="13"/>
        <v/>
      </c>
      <c r="H319" s="297" t="str">
        <f>IF(OR(G319="",G319="toute race"),"",VLOOKUP(G319,'Types de monstres'!$F$2:$G$49,2,FALSE))</f>
        <v/>
      </c>
      <c r="I319" s="298" t="s">
        <v>4091</v>
      </c>
      <c r="J319" s="300">
        <v>16</v>
      </c>
      <c r="K319" s="300">
        <v>85</v>
      </c>
      <c r="L319" s="298"/>
      <c r="M319" s="298" t="s">
        <v>4193</v>
      </c>
      <c r="N319" s="297" t="str">
        <f>IF(M319="sans alignement","",IF(M319="tout alignement", """1_LB"", ""2_NB"", ""3_CB"", ""4_LN"", ""5_NN"", ""6_CN"", ""7_LM"", ""8_NM"", ""9_CM""",IF(M319="tout alignement non bon", """4_LN"", ""5_NN"", ""6_CN"", ""7_LM"", ""8_NM"", ""9_CM""",IF(M319="tout alignement mauvais", """7_LM"", ""8_NM"", ""9_CM""",IF(M319="tout alignement chaotique", """3_CB"", ""6_CN"", ""9_CM""",IF(M319="tout alignement non loyal", """2_NB"", ""3_CB"", ""5_NN"", ""6_CN"", ""8_NM"", ""9_CM""",""""&amp;VLOOKUP(M319,Alignements!$A$2:$B$10,2, FALSE)&amp;""""))))))</f>
        <v>"5_NN"</v>
      </c>
      <c r="O319" s="298"/>
      <c r="P319" t="str">
        <f t="shared" si="14"/>
        <v>"Galeb duhr": {
  "Name" : "Galeb duhr",
  "VO" : "Galeb Duhr",
  "Family" : "ELEMENTARY",
  "Species" : [""],
  "FP" : "6", 
  "Size" : "M",
  "AC" : 16,
  "HP" : 85, 
  "Speed" : "",
  "Alignments" : ["5_NN"],
  "Legendary" : ""}</v>
      </c>
    </row>
    <row r="320" spans="1:16" ht="21">
      <c r="A320" s="61" t="s">
        <v>4706</v>
      </c>
      <c r="B320" s="297" t="s">
        <v>4707</v>
      </c>
      <c r="C320" s="305">
        <v>6</v>
      </c>
      <c r="D320" s="297" t="s">
        <v>4242</v>
      </c>
      <c r="E320" s="297" t="str">
        <f t="shared" si="12"/>
        <v>Humanoïde</v>
      </c>
      <c r="F320" s="297" t="str">
        <f>VLOOKUP(E320,'Types de monstres'!$A$2:$B$17,2,FALSE)</f>
        <v>HUMANOID</v>
      </c>
      <c r="G320" s="297" t="str">
        <f t="shared" si="13"/>
        <v>humain</v>
      </c>
      <c r="H320" s="297" t="str">
        <f>IF(OR(G320="",G320="toute race"),"",VLOOKUP(G320,'Types de monstres'!$F$2:$G$49,2,FALSE))</f>
        <v>HUMAN</v>
      </c>
      <c r="I320" s="297" t="s">
        <v>4091</v>
      </c>
      <c r="J320" s="302">
        <v>16</v>
      </c>
      <c r="K320" s="302">
        <v>51</v>
      </c>
      <c r="L320" s="297"/>
      <c r="M320" s="297" t="s">
        <v>4097</v>
      </c>
      <c r="N320" s="297" t="str">
        <f>IF(M320="sans alignement","",IF(M320="tout alignement", """1_LB"", ""2_NB"", ""3_CB"", ""4_LN"", ""5_NN"", ""6_CN"", ""7_LM"", ""8_NM"", ""9_CM""",IF(M320="tout alignement non bon", """4_LN"", ""5_NN"", ""6_CN"", ""7_LM"", ""8_NM"", ""9_CM""",IF(M320="tout alignement mauvais", """7_LM"", ""8_NM"", ""9_CM""",IF(M320="tout alignement chaotique", """3_CB"", ""6_CN"", ""9_CM""",IF(M320="tout alignement non loyal", """2_NB"", ""3_CB"", ""5_NN"", ""6_CN"", ""8_NM"", ""9_CM""",""""&amp;VLOOKUP(M320,Alignements!$A$2:$B$10,2, FALSE)&amp;""""))))))</f>
        <v>"7_LM"</v>
      </c>
      <c r="O320" s="297"/>
      <c r="P320" t="str">
        <f t="shared" si="14"/>
        <v>"Gantelet noir de Baine": {
  "Name" : "Gantelet noir de Baine",
  "VO" : "Black Gauntlet of Bane",
  "Family" : "HUMANOID",
  "Species" : ["HUMAN"],
  "FP" : "6", 
  "Size" : "M",
  "AC" : 16,
  "HP" : 51, 
  "Speed" : "",
  "Alignments" : ["7_LM"],
  "Legendary" : ""}</v>
      </c>
    </row>
    <row r="321" spans="1:16">
      <c r="A321" s="61" t="s">
        <v>4708</v>
      </c>
      <c r="B321" s="298" t="s">
        <v>4709</v>
      </c>
      <c r="C321" s="306" t="s">
        <v>5619</v>
      </c>
      <c r="D321" s="298" t="s">
        <v>4108</v>
      </c>
      <c r="E321" s="297" t="str">
        <f t="shared" si="12"/>
        <v>Humanoïde</v>
      </c>
      <c r="F321" s="297" t="str">
        <f>VLOOKUP(E321,'Types de monstres'!$A$2:$B$17,2,FALSE)</f>
        <v>HUMANOID</v>
      </c>
      <c r="G321" s="297" t="str">
        <f t="shared" si="13"/>
        <v>toute race</v>
      </c>
      <c r="H321" s="297" t="str">
        <f>IF(OR(G321="",G321="toute race"),"",VLOOKUP(G321,'Types de monstres'!$F$2:$G$49,2,FALSE))</f>
        <v/>
      </c>
      <c r="I321" s="298" t="s">
        <v>4091</v>
      </c>
      <c r="J321" s="300">
        <v>16</v>
      </c>
      <c r="K321" s="300">
        <v>11</v>
      </c>
      <c r="L321" s="298"/>
      <c r="M321" s="298" t="s">
        <v>4109</v>
      </c>
      <c r="N321" s="297" t="str">
        <f>IF(M321="sans alignement","",IF(M321="tout alignement", """1_LB"", ""2_NB"", ""3_CB"", ""4_LN"", ""5_NN"", ""6_CN"", ""7_LM"", ""8_NM"", ""9_CM""",IF(M321="tout alignement non bon", """4_LN"", ""5_NN"", ""6_CN"", ""7_LM"", ""8_NM"", ""9_CM""",IF(M321="tout alignement mauvais", """7_LM"", ""8_NM"", ""9_CM""",IF(M321="tout alignement chaotique", """3_CB"", ""6_CN"", ""9_CM""",IF(M321="tout alignement non loyal", """2_NB"", ""3_CB"", ""5_NN"", ""6_CN"", ""8_NM"", ""9_CM""",""""&amp;VLOOKUP(M321,Alignements!$A$2:$B$10,2, FALSE)&amp;""""))))))</f>
        <v>"1_LB", "2_NB", "3_CB", "4_LN", "5_NN", "6_CN", "7_LM", "8_NM", "9_CM"</v>
      </c>
      <c r="O321" s="298"/>
      <c r="P321" t="str">
        <f t="shared" si="14"/>
        <v>"Garde": {
  "Name" : "Garde",
  "VO" : "Guard",
  "Family" : "HUMANOID",
  "Species" : [""],
  "FP" : "1/8", 
  "Size" : "M",
  "AC" : 16,
  "HP" : 11, 
  "Speed" : "",
  "Alignments" : ["1_LB", "2_NB", "3_CB", "4_LN", "5_NN", "6_CN", "7_LM", "8_NM", "9_CM"],
  "Legendary" : ""}</v>
      </c>
    </row>
    <row r="322" spans="1:16">
      <c r="A322" s="61" t="s">
        <v>4710</v>
      </c>
      <c r="B322" s="297" t="s">
        <v>4711</v>
      </c>
      <c r="C322" s="305">
        <v>7</v>
      </c>
      <c r="D322" s="297" t="s">
        <v>4181</v>
      </c>
      <c r="E322" s="297" t="str">
        <f t="shared" si="12"/>
        <v>Créature artificielle</v>
      </c>
      <c r="F322" s="297" t="str">
        <f>VLOOKUP(E322,'Types de monstres'!$A$2:$B$17,2,FALSE)</f>
        <v>ARTIFICIAL_CREATURE</v>
      </c>
      <c r="G322" s="297" t="str">
        <f t="shared" si="13"/>
        <v/>
      </c>
      <c r="H322" s="297" t="str">
        <f>IF(OR(G322="",G322="toute race"),"",VLOOKUP(G322,'Types de monstres'!$F$2:$G$49,2,FALSE))</f>
        <v/>
      </c>
      <c r="I322" s="297" t="s">
        <v>4112</v>
      </c>
      <c r="J322" s="302">
        <v>17</v>
      </c>
      <c r="K322" s="302">
        <v>142</v>
      </c>
      <c r="L322" s="297"/>
      <c r="M322" s="297" t="s">
        <v>4130</v>
      </c>
      <c r="N322" s="297" t="str">
        <f>IF(M322="sans alignement","",IF(M322="tout alignement", """1_LB"", ""2_NB"", ""3_CB"", ""4_LN"", ""5_NN"", ""6_CN"", ""7_LM"", ""8_NM"", ""9_CM""",IF(M322="tout alignement non bon", """4_LN"", ""5_NN"", ""6_CN"", ""7_LM"", ""8_NM"", ""9_CM""",IF(M322="tout alignement mauvais", """7_LM"", ""8_NM"", ""9_CM""",IF(M322="tout alignement chaotique", """3_CB"", ""6_CN"", ""9_CM""",IF(M322="tout alignement non loyal", """2_NB"", ""3_CB"", ""5_NN"", ""6_CN"", ""8_NM"", ""9_CM""",""""&amp;VLOOKUP(M322,Alignements!$A$2:$B$10,2, FALSE)&amp;""""))))))</f>
        <v/>
      </c>
      <c r="O322" s="297"/>
      <c r="P322" t="str">
        <f t="shared" si="14"/>
        <v>"Gardien animé": {
  "Name" : "Gardien animé",
  "VO" : "Shield Guardian",
  "Family" : "ARTIFICIAL_CREATURE",
  "Species" : [""],
  "FP" : "7", 
  "Size" : "G",
  "AC" : 17,
  "HP" : 142, 
  "Speed" : "",
  "Alignments" : [],
  "Legendary" : ""}</v>
      </c>
    </row>
    <row r="323" spans="1:16">
      <c r="A323" s="61" t="s">
        <v>4712</v>
      </c>
      <c r="B323" s="298" t="s">
        <v>4713</v>
      </c>
      <c r="C323" s="306">
        <v>2</v>
      </c>
      <c r="D323" s="298" t="s">
        <v>4189</v>
      </c>
      <c r="E323" s="297" t="str">
        <f t="shared" ref="E323:E385" si="15">IF(ISERROR( FIND("(",D323) ),D323,LEFT(D323, FIND("(",D323)-2))</f>
        <v>Élémentaire</v>
      </c>
      <c r="F323" s="297" t="str">
        <f>VLOOKUP(E323,'Types de monstres'!$A$2:$B$17,2,FALSE)</f>
        <v>ELEMENTARY</v>
      </c>
      <c r="G323" s="297" t="str">
        <f t="shared" ref="G323:G386" si="16">IF(ISERROR( FIND("(",D323) ),"",RIGHT(LEFT(D323,LEN(D323)-1), LEN(D323)-FIND("(",D323)-1))</f>
        <v/>
      </c>
      <c r="H323" s="297" t="str">
        <f>IF(OR(G323="",G323="toute race"),"",VLOOKUP(G323,'Types de monstres'!$F$2:$G$49,2,FALSE))</f>
        <v/>
      </c>
      <c r="I323" s="298" t="s">
        <v>4091</v>
      </c>
      <c r="J323" s="300">
        <v>15</v>
      </c>
      <c r="K323" s="300">
        <v>52</v>
      </c>
      <c r="L323" s="298" t="s">
        <v>4092</v>
      </c>
      <c r="M323" s="298" t="s">
        <v>4137</v>
      </c>
      <c r="N323" s="297" t="str">
        <f>IF(M323="sans alignement","",IF(M323="tout alignement", """1_LB"", ""2_NB"", ""3_CB"", ""4_LN"", ""5_NN"", ""6_CN"", ""7_LM"", ""8_NM"", ""9_CM""",IF(M323="tout alignement non bon", """4_LN"", ""5_NN"", ""6_CN"", ""7_LM"", ""8_NM"", ""9_CM""",IF(M323="tout alignement mauvais", """7_LM"", ""8_NM"", ""9_CM""",IF(M323="tout alignement chaotique", """3_CB"", ""6_CN"", ""9_CM""",IF(M323="tout alignement non loyal", """2_NB"", ""3_CB"", ""5_NN"", ""6_CN"", ""8_NM"", ""9_CM""",""""&amp;VLOOKUP(M323,Alignements!$A$2:$B$10,2, FALSE)&amp;""""))))))</f>
        <v>"9_CM"</v>
      </c>
      <c r="O323" s="298"/>
      <c r="P323" t="str">
        <f t="shared" ref="P323:P386" si="17">""""&amp;A323&amp;""": {
  ""Name"" : """&amp;A323&amp;""",
  ""VO"" : """&amp;B323&amp;""",
  ""Family"" : """&amp;F323&amp;""",
  ""Species"" : ["""&amp;SUBSTITUTE(H323,", ",""", """)&amp;"""],
  ""FP"" : """&amp;SUBSTITUTE(C323,"""","")&amp;""", 
  ""Size"" : """&amp;I323&amp;""",
  ""AC"" : "&amp;J323&amp;",
  ""HP"" : "&amp;K323&amp;", 
  ""Speed"" : """&amp;L323&amp;""",
  ""Alignments"" : ["&amp;N323&amp;"],
  ""Legendary"" : """&amp;O323&amp;"""}"</f>
        <v>"Gargouille": {
  "Name" : "Gargouille",
  "VO" : "Gargoyle",
  "Family" : "ELEMENTARY",
  "Species" : [""],
  "FP" : "2", 
  "Size" : "M",
  "AC" : 15,
  "HP" : 52, 
  "Speed" : "vol",
  "Alignments" : ["9_CM"],
  "Legendary" : ""}</v>
      </c>
    </row>
    <row r="324" spans="1:16">
      <c r="A324" s="61" t="s">
        <v>4714</v>
      </c>
      <c r="B324" s="297" t="s">
        <v>4714</v>
      </c>
      <c r="C324" s="305">
        <v>6</v>
      </c>
      <c r="D324" s="297" t="s">
        <v>4111</v>
      </c>
      <c r="E324" s="297" t="str">
        <f t="shared" si="15"/>
        <v>Aberration</v>
      </c>
      <c r="F324" s="297" t="str">
        <f>VLOOKUP(E324,'Types de monstres'!$A$2:$B$17,2,FALSE)</f>
        <v>ABERRATION</v>
      </c>
      <c r="G324" s="297" t="str">
        <f t="shared" si="16"/>
        <v/>
      </c>
      <c r="H324" s="297" t="str">
        <f>IF(OR(G324="",G324="toute race"),"",VLOOKUP(G324,'Types de monstres'!$F$2:$G$49,2,FALSE))</f>
        <v/>
      </c>
      <c r="I324" s="297" t="s">
        <v>4091</v>
      </c>
      <c r="J324" s="302">
        <v>15</v>
      </c>
      <c r="K324" s="302">
        <v>67</v>
      </c>
      <c r="L324" s="297" t="s">
        <v>4092</v>
      </c>
      <c r="M324" s="297" t="s">
        <v>4097</v>
      </c>
      <c r="N324" s="297" t="str">
        <f>IF(M324="sans alignement","",IF(M324="tout alignement", """1_LB"", ""2_NB"", ""3_CB"", ""4_LN"", ""5_NN"", ""6_CN"", ""7_LM"", ""8_NM"", ""9_CM""",IF(M324="tout alignement non bon", """4_LN"", ""5_NN"", ""6_CN"", ""7_LM"", ""8_NM"", ""9_CM""",IF(M324="tout alignement mauvais", """7_LM"", ""8_NM"", ""9_CM""",IF(M324="tout alignement chaotique", """3_CB"", ""6_CN"", ""9_CM""",IF(M324="tout alignement non loyal", """2_NB"", ""3_CB"", ""5_NN"", ""6_CN"", ""8_NM"", ""9_CM""",""""&amp;VLOOKUP(M324,Alignements!$A$2:$B$10,2, FALSE)&amp;""""))))))</f>
        <v>"7_LM"</v>
      </c>
      <c r="O324" s="297"/>
      <c r="P324" t="str">
        <f t="shared" si="17"/>
        <v>"Gauth": {
  "Name" : "Gauth",
  "VO" : "Gauth",
  "Family" : "ABERRATION",
  "Species" : [""],
  "FP" : "6", 
  "Size" : "M",
  "AC" : 15,
  "HP" : 67, 
  "Speed" : "vol",
  "Alignments" : ["7_LM"],
  "Legendary" : ""}</v>
      </c>
    </row>
    <row r="325" spans="1:16">
      <c r="A325" s="299" t="s">
        <v>4715</v>
      </c>
      <c r="B325" s="298" t="s">
        <v>4715</v>
      </c>
      <c r="C325" s="306" t="s">
        <v>5620</v>
      </c>
      <c r="D325" s="298" t="s">
        <v>4111</v>
      </c>
      <c r="E325" s="297" t="str">
        <f t="shared" si="15"/>
        <v>Aberration</v>
      </c>
      <c r="F325" s="297" t="str">
        <f>VLOOKUP(E325,'Types de monstres'!$A$2:$B$17,2,FALSE)</f>
        <v>ABERRATION</v>
      </c>
      <c r="G325" s="297" t="str">
        <f t="shared" si="16"/>
        <v/>
      </c>
      <c r="H325" s="297" t="str">
        <f>IF(OR(G325="",G325="toute race"),"",VLOOKUP(G325,'Types de monstres'!$F$2:$G$49,2,FALSE))</f>
        <v/>
      </c>
      <c r="I325" s="298" t="s">
        <v>4154</v>
      </c>
      <c r="J325" s="300">
        <v>13</v>
      </c>
      <c r="K325" s="300">
        <v>13</v>
      </c>
      <c r="L325" s="298" t="s">
        <v>4092</v>
      </c>
      <c r="M325" s="298" t="s">
        <v>4118</v>
      </c>
      <c r="N325" s="297" t="str">
        <f>IF(M325="sans alignement","",IF(M325="tout alignement", """1_LB"", ""2_NB"", ""3_CB"", ""4_LN"", ""5_NN"", ""6_CN"", ""7_LM"", ""8_NM"", ""9_CM""",IF(M325="tout alignement non bon", """4_LN"", ""5_NN"", ""6_CN"", ""7_LM"", ""8_NM"", ""9_CM""",IF(M325="tout alignement mauvais", """7_LM"", ""8_NM"", ""9_CM""",IF(M325="tout alignement chaotique", """3_CB"", ""6_CN"", ""9_CM""",IF(M325="tout alignement non loyal", """2_NB"", ""3_CB"", ""5_NN"", ""6_CN"", ""8_NM"", ""9_CM""",""""&amp;VLOOKUP(M325,Alignements!$A$2:$B$10,2, FALSE)&amp;""""))))))</f>
        <v>"8_NM"</v>
      </c>
      <c r="O325" s="298"/>
      <c r="P325" t="str">
        <f t="shared" si="17"/>
        <v>"Gazer": {
  "Name" : "Gazer",
  "VO" : "Gazer",
  "Family" : "ABERRATION",
  "Species" : [""],
  "FP" : "1/2", 
  "Size" : "TP",
  "AC" : 13,
  "HP" : 13, 
  "Speed" : "vol",
  "Alignments" : ["8_NM"],
  "Legendary" : ""}</v>
      </c>
    </row>
    <row r="326" spans="1:16">
      <c r="A326" s="61" t="s">
        <v>4716</v>
      </c>
      <c r="B326" s="297" t="s">
        <v>4717</v>
      </c>
      <c r="C326" s="305">
        <v>5</v>
      </c>
      <c r="D326" s="297" t="s">
        <v>2584</v>
      </c>
      <c r="E326" s="297" t="str">
        <f t="shared" si="15"/>
        <v>Géant</v>
      </c>
      <c r="F326" s="297" t="str">
        <f>VLOOKUP(E326,'Types de monstres'!$A$2:$B$17,2,FALSE)</f>
        <v>GIANT</v>
      </c>
      <c r="G326" s="297" t="str">
        <f t="shared" si="16"/>
        <v/>
      </c>
      <c r="H326" s="297" t="str">
        <f>IF(OR(G326="",G326="toute race"),"",VLOOKUP(G326,'Types de monstres'!$F$2:$G$49,2,FALSE))</f>
        <v/>
      </c>
      <c r="I326" s="297" t="s">
        <v>4149</v>
      </c>
      <c r="J326" s="302">
        <v>13</v>
      </c>
      <c r="K326" s="302">
        <v>105</v>
      </c>
      <c r="L326" s="297"/>
      <c r="M326" s="297" t="s">
        <v>4137</v>
      </c>
      <c r="N326" s="297" t="str">
        <f>IF(M326="sans alignement","",IF(M326="tout alignement", """1_LB"", ""2_NB"", ""3_CB"", ""4_LN"", ""5_NN"", ""6_CN"", ""7_LM"", ""8_NM"", ""9_CM""",IF(M326="tout alignement non bon", """4_LN"", ""5_NN"", ""6_CN"", ""7_LM"", ""8_NM"", ""9_CM""",IF(M326="tout alignement mauvais", """7_LM"", ""8_NM"", ""9_CM""",IF(M326="tout alignement chaotique", """3_CB"", ""6_CN"", ""9_CM""",IF(M326="tout alignement non loyal", """2_NB"", ""3_CB"", ""5_NN"", ""6_CN"", ""8_NM"", ""9_CM""",""""&amp;VLOOKUP(M326,Alignements!$A$2:$B$10,2, FALSE)&amp;""""))))))</f>
        <v>"9_CM"</v>
      </c>
      <c r="O326" s="297"/>
      <c r="P326" t="str">
        <f t="shared" si="17"/>
        <v>"Géant des collines": {
  "Name" : "Géant des collines",
  "VO" : "Hill Giant",
  "Family" : "GIANT",
  "Species" : [""],
  "FP" : "5", 
  "Size" : "TG",
  "AC" : 13,
  "HP" : 105, 
  "Speed" : "",
  "Alignments" : ["9_CM"],
  "Legendary" : ""}</v>
      </c>
    </row>
    <row r="327" spans="1:16">
      <c r="A327" s="61" t="s">
        <v>4718</v>
      </c>
      <c r="B327" s="298" t="s">
        <v>4719</v>
      </c>
      <c r="C327" s="306">
        <v>1</v>
      </c>
      <c r="D327" s="298" t="s">
        <v>2584</v>
      </c>
      <c r="E327" s="297" t="str">
        <f t="shared" si="15"/>
        <v>Géant</v>
      </c>
      <c r="F327" s="297" t="str">
        <f>VLOOKUP(E327,'Types de monstres'!$A$2:$B$17,2,FALSE)</f>
        <v>GIANT</v>
      </c>
      <c r="G327" s="297" t="str">
        <f t="shared" si="16"/>
        <v/>
      </c>
      <c r="H327" s="297" t="str">
        <f>IF(OR(G327="",G327="toute race"),"",VLOOKUP(G327,'Types de monstres'!$F$2:$G$49,2,FALSE))</f>
        <v/>
      </c>
      <c r="I327" s="298" t="s">
        <v>4129</v>
      </c>
      <c r="J327" s="300">
        <v>13</v>
      </c>
      <c r="K327" s="300">
        <v>27</v>
      </c>
      <c r="L327" s="298"/>
      <c r="M327" s="298" t="s">
        <v>4097</v>
      </c>
      <c r="N327" s="297" t="str">
        <f>IF(M327="sans alignement","",IF(M327="tout alignement", """1_LB"", ""2_NB"", ""3_CB"", ""4_LN"", ""5_NN"", ""6_CN"", ""7_LM"", ""8_NM"", ""9_CM""",IF(M327="tout alignement non bon", """4_LN"", ""5_NN"", ""6_CN"", ""7_LM"", ""8_NM"", ""9_CM""",IF(M327="tout alignement mauvais", """7_LM"", ""8_NM"", ""9_CM""",IF(M327="tout alignement chaotique", """3_CB"", ""6_CN"", ""9_CM""",IF(M327="tout alignement non loyal", """2_NB"", ""3_CB"", ""5_NN"", ""6_CN"", ""8_NM"", ""9_CM""",""""&amp;VLOOKUP(M327,Alignements!$A$2:$B$10,2, FALSE)&amp;""""))))))</f>
        <v>"7_LM"</v>
      </c>
      <c r="O327" s="298"/>
      <c r="P327" t="str">
        <f t="shared" si="17"/>
        <v>"Géant des collines maudit": {
  "Name" : "Géant des collines maudit",
  "VO" : "Cursed Hill Giant",
  "Family" : "GIANT",
  "Species" : [""],
  "FP" : "1", 
  "Size" : "P",
  "AC" : 13,
  "HP" : 27, 
  "Speed" : "",
  "Alignments" : ["7_LM"],
  "Legendary" : ""}</v>
      </c>
    </row>
    <row r="328" spans="1:16">
      <c r="A328" s="61" t="s">
        <v>4720</v>
      </c>
      <c r="B328" s="297" t="s">
        <v>4721</v>
      </c>
      <c r="C328" s="305">
        <v>9</v>
      </c>
      <c r="D328" s="297" t="s">
        <v>2584</v>
      </c>
      <c r="E328" s="297" t="str">
        <f t="shared" si="15"/>
        <v>Géant</v>
      </c>
      <c r="F328" s="297" t="str">
        <f>VLOOKUP(E328,'Types de monstres'!$A$2:$B$17,2,FALSE)</f>
        <v>GIANT</v>
      </c>
      <c r="G328" s="297" t="str">
        <f t="shared" si="16"/>
        <v/>
      </c>
      <c r="H328" s="297" t="str">
        <f>IF(OR(G328="",G328="toute race"),"",VLOOKUP(G328,'Types de monstres'!$F$2:$G$49,2,FALSE))</f>
        <v/>
      </c>
      <c r="I328" s="297" t="s">
        <v>4149</v>
      </c>
      <c r="J328" s="302">
        <v>14</v>
      </c>
      <c r="K328" s="302">
        <v>200</v>
      </c>
      <c r="L328" s="297"/>
      <c r="M328" s="297" t="s">
        <v>4093</v>
      </c>
      <c r="N328" s="297" t="str">
        <f>IF(M328="sans alignement","",IF(M328="tout alignement", """1_LB"", ""2_NB"", ""3_CB"", ""4_LN"", ""5_NN"", ""6_CN"", ""7_LM"", ""8_NM"", ""9_CM""",IF(M328="tout alignement non bon", """4_LN"", ""5_NN"", ""6_CN"", ""7_LM"", ""8_NM"", ""9_CM""",IF(M328="tout alignement mauvais", """7_LM"", ""8_NM"", ""9_CM""",IF(M328="tout alignement chaotique", """3_CB"", ""6_CN"", ""9_CM""",IF(M328="tout alignement non loyal", """2_NB"", ""3_CB"", ""5_NN"", ""6_CN"", ""8_NM"", ""9_CM""",""""&amp;VLOOKUP(M328,Alignements!$A$2:$B$10,2, FALSE)&amp;""""))))))</f>
        <v>"2_NB"</v>
      </c>
      <c r="O328" s="297"/>
      <c r="P328" t="str">
        <f t="shared" si="17"/>
        <v>"Géant des nuages": {
  "Name" : "Géant des nuages",
  "VO" : "Cloud Giant",
  "Family" : "GIANT",
  "Species" : [""],
  "FP" : "9", 
  "Size" : "TG",
  "AC" : 14,
  "HP" : 200, 
  "Speed" : "",
  "Alignments" : ["2_NB"],
  "Legendary" : ""}</v>
      </c>
    </row>
    <row r="329" spans="1:16" ht="21">
      <c r="A329" s="299" t="s">
        <v>4722</v>
      </c>
      <c r="B329" s="298" t="s">
        <v>4723</v>
      </c>
      <c r="C329" s="306">
        <v>11</v>
      </c>
      <c r="D329" s="298" t="s">
        <v>4724</v>
      </c>
      <c r="E329" s="297" t="str">
        <f t="shared" si="15"/>
        <v>Géant</v>
      </c>
      <c r="F329" s="297" t="str">
        <f>VLOOKUP(E329,'Types de monstres'!$A$2:$B$17,2,FALSE)</f>
        <v>GIANT</v>
      </c>
      <c r="G329" s="297" t="str">
        <f t="shared" si="16"/>
        <v>géant des nuages</v>
      </c>
      <c r="H329" s="297" t="str">
        <f>IF(OR(G329="",G329="toute race"),"",VLOOKUP(G329,'Types de monstres'!$F$2:$G$49,2,FALSE))</f>
        <v>GIANT_CLOUDS</v>
      </c>
      <c r="I329" s="298" t="s">
        <v>4149</v>
      </c>
      <c r="J329" s="300">
        <v>15</v>
      </c>
      <c r="K329" s="300">
        <v>262</v>
      </c>
      <c r="L329" s="298"/>
      <c r="M329" s="298" t="s">
        <v>4243</v>
      </c>
      <c r="N329" s="297" t="str">
        <f>IF(M329="sans alignement","",IF(M329="tout alignement", """1_LB"", ""2_NB"", ""3_CB"", ""4_LN"", ""5_NN"", ""6_CN"", ""7_LM"", ""8_NM"", ""9_CM""",IF(M329="tout alignement non bon", """4_LN"", ""5_NN"", ""6_CN"", ""7_LM"", ""8_NM"", ""9_CM""",IF(M329="tout alignement mauvais", """7_LM"", ""8_NM"", ""9_CM""",IF(M329="tout alignement chaotique", """3_CB"", ""6_CN"", ""9_CM""",IF(M329="tout alignement non loyal", """2_NB"", ""3_CB"", ""5_NN"", ""6_CN"", ""8_NM"", ""9_CM""",""""&amp;VLOOKUP(M329,Alignements!$A$2:$B$10,2, FALSE)&amp;""""))))))</f>
        <v>"6_CN"</v>
      </c>
      <c r="O329" s="298"/>
      <c r="P329" t="str">
        <f t="shared" si="17"/>
        <v>"Géant des nuages, tout-sourire": {
  "Name" : "Géant des nuages, tout-sourire",
  "VO" : "Cloud Giant Smiling One",
  "Family" : "GIANT",
  "Species" : ["GIANT_CLOUDS"],
  "FP" : "11", 
  "Size" : "TG",
  "AC" : 15,
  "HP" : 262, 
  "Speed" : "",
  "Alignments" : ["6_CN"],
  "Legendary" : ""}</v>
      </c>
    </row>
    <row r="330" spans="1:16">
      <c r="A330" s="61" t="s">
        <v>4725</v>
      </c>
      <c r="B330" s="297" t="s">
        <v>4726</v>
      </c>
      <c r="C330" s="305">
        <v>7</v>
      </c>
      <c r="D330" s="297" t="s">
        <v>2584</v>
      </c>
      <c r="E330" s="297" t="str">
        <f t="shared" si="15"/>
        <v>Géant</v>
      </c>
      <c r="F330" s="297" t="str">
        <f>VLOOKUP(E330,'Types de monstres'!$A$2:$B$17,2,FALSE)</f>
        <v>GIANT</v>
      </c>
      <c r="G330" s="297" t="str">
        <f t="shared" si="16"/>
        <v/>
      </c>
      <c r="H330" s="297" t="str">
        <f>IF(OR(G330="",G330="toute race"),"",VLOOKUP(G330,'Types de monstres'!$F$2:$G$49,2,FALSE))</f>
        <v/>
      </c>
      <c r="I330" s="297" t="s">
        <v>4149</v>
      </c>
      <c r="J330" s="302">
        <v>17</v>
      </c>
      <c r="K330" s="302">
        <v>126</v>
      </c>
      <c r="L330" s="297"/>
      <c r="M330" s="297" t="s">
        <v>4193</v>
      </c>
      <c r="N330" s="297" t="str">
        <f>IF(M330="sans alignement","",IF(M330="tout alignement", """1_LB"", ""2_NB"", ""3_CB"", ""4_LN"", ""5_NN"", ""6_CN"", ""7_LM"", ""8_NM"", ""9_CM""",IF(M330="tout alignement non bon", """4_LN"", ""5_NN"", ""6_CN"", ""7_LM"", ""8_NM"", ""9_CM""",IF(M330="tout alignement mauvais", """7_LM"", ""8_NM"", ""9_CM""",IF(M330="tout alignement chaotique", """3_CB"", ""6_CN"", ""9_CM""",IF(M330="tout alignement non loyal", """2_NB"", ""3_CB"", ""5_NN"", ""6_CN"", ""8_NM"", ""9_CM""",""""&amp;VLOOKUP(M330,Alignements!$A$2:$B$10,2, FALSE)&amp;""""))))))</f>
        <v>"5_NN"</v>
      </c>
      <c r="O330" s="297"/>
      <c r="P330" t="str">
        <f t="shared" si="17"/>
        <v>"Géant des pierres": {
  "Name" : "Géant des pierres",
  "VO" : "Stone Giant",
  "Family" : "GIANT",
  "Species" : [""],
  "FP" : "7", 
  "Size" : "TG",
  "AC" : 17,
  "HP" : 126, 
  "Speed" : "",
  "Alignments" : ["5_NN"],
  "Legendary" : ""}</v>
      </c>
    </row>
    <row r="331" spans="1:16" ht="21">
      <c r="A331" s="61" t="s">
        <v>4727</v>
      </c>
      <c r="B331" s="298" t="s">
        <v>4728</v>
      </c>
      <c r="C331" s="306">
        <v>10</v>
      </c>
      <c r="D331" s="298" t="s">
        <v>4729</v>
      </c>
      <c r="E331" s="297" t="str">
        <f t="shared" si="15"/>
        <v>Géant</v>
      </c>
      <c r="F331" s="297" t="str">
        <f>VLOOKUP(E331,'Types de monstres'!$A$2:$B$17,2,FALSE)</f>
        <v>GIANT</v>
      </c>
      <c r="G331" s="297" t="str">
        <f t="shared" si="16"/>
        <v>géant des pierres</v>
      </c>
      <c r="H331" s="297" t="str">
        <f>IF(OR(G331="",G331="toute race"),"",VLOOKUP(G331,'Types de monstres'!$F$2:$G$49,2,FALSE))</f>
        <v>GIANT_STONES</v>
      </c>
      <c r="I331" s="298" t="s">
        <v>4149</v>
      </c>
      <c r="J331" s="300">
        <v>18</v>
      </c>
      <c r="K331" s="300">
        <v>161</v>
      </c>
      <c r="L331" s="298"/>
      <c r="M331" s="298" t="s">
        <v>4243</v>
      </c>
      <c r="N331" s="297" t="str">
        <f>IF(M331="sans alignement","",IF(M331="tout alignement", """1_LB"", ""2_NB"", ""3_CB"", ""4_LN"", ""5_NN"", ""6_CN"", ""7_LM"", ""8_NM"", ""9_CM""",IF(M331="tout alignement non bon", """4_LN"", ""5_NN"", ""6_CN"", ""7_LM"", ""8_NM"", ""9_CM""",IF(M331="tout alignement mauvais", """7_LM"", ""8_NM"", ""9_CM""",IF(M331="tout alignement chaotique", """3_CB"", ""6_CN"", ""9_CM""",IF(M331="tout alignement non loyal", """2_NB"", ""3_CB"", ""5_NN"", ""6_CN"", ""8_NM"", ""9_CM""",""""&amp;VLOOKUP(M331,Alignements!$A$2:$B$10,2, FALSE)&amp;""""))))))</f>
        <v>"6_CN"</v>
      </c>
      <c r="O331" s="298"/>
      <c r="P331" t="str">
        <f t="shared" si="17"/>
        <v>"Géant des pierres, marcherêve": {
  "Name" : "Géant des pierres, marcherêve",
  "VO" : "Stone Giant Dreamwalker",
  "Family" : "GIANT",
  "Species" : ["GIANT_STONES"],
  "FP" : "10", 
  "Size" : "TG",
  "AC" : 18,
  "HP" : 161, 
  "Speed" : "",
  "Alignments" : ["6_CN"],
  "Legendary" : ""}</v>
      </c>
    </row>
    <row r="332" spans="1:16">
      <c r="A332" s="61" t="s">
        <v>4730</v>
      </c>
      <c r="B332" s="297" t="s">
        <v>4731</v>
      </c>
      <c r="C332" s="305">
        <v>13</v>
      </c>
      <c r="D332" s="297" t="s">
        <v>2584</v>
      </c>
      <c r="E332" s="297" t="str">
        <f t="shared" si="15"/>
        <v>Géant</v>
      </c>
      <c r="F332" s="297" t="str">
        <f>VLOOKUP(E332,'Types de monstres'!$A$2:$B$17,2,FALSE)</f>
        <v>GIANT</v>
      </c>
      <c r="G332" s="297" t="str">
        <f t="shared" si="16"/>
        <v/>
      </c>
      <c r="H332" s="297" t="str">
        <f>IF(OR(G332="",G332="toute race"),"",VLOOKUP(G332,'Types de monstres'!$F$2:$G$49,2,FALSE))</f>
        <v/>
      </c>
      <c r="I332" s="297" t="s">
        <v>4149</v>
      </c>
      <c r="J332" s="302">
        <v>16</v>
      </c>
      <c r="K332" s="302">
        <v>230</v>
      </c>
      <c r="L332" s="297" t="s">
        <v>4113</v>
      </c>
      <c r="M332" s="297" t="s">
        <v>4439</v>
      </c>
      <c r="N332" s="297" t="str">
        <f>IF(M332="sans alignement","",IF(M332="tout alignement", """1_LB"", ""2_NB"", ""3_CB"", ""4_LN"", ""5_NN"", ""6_CN"", ""7_LM"", ""8_NM"", ""9_CM""",IF(M332="tout alignement non bon", """4_LN"", ""5_NN"", ""6_CN"", ""7_LM"", ""8_NM"", ""9_CM""",IF(M332="tout alignement mauvais", """7_LM"", ""8_NM"", ""9_CM""",IF(M332="tout alignement chaotique", """3_CB"", ""6_CN"", ""9_CM""",IF(M332="tout alignement non loyal", """2_NB"", ""3_CB"", ""5_NN"", ""6_CN"", ""8_NM"", ""9_CM""",""""&amp;VLOOKUP(M332,Alignements!$A$2:$B$10,2, FALSE)&amp;""""))))))</f>
        <v>"3_CB"</v>
      </c>
      <c r="O332" s="297"/>
      <c r="P332" t="str">
        <f t="shared" si="17"/>
        <v>"Géant des tempêtes": {
  "Name" : "Géant des tempêtes",
  "VO" : "Storm Giant",
  "Family" : "GIANT",
  "Species" : [""],
  "FP" : "13", 
  "Size" : "TG",
  "AC" : 16,
  "HP" : 230, 
  "Speed" : "nage",
  "Alignments" : ["3_CB"],
  "Legendary" : ""}</v>
      </c>
    </row>
    <row r="333" spans="1:16" ht="31.5">
      <c r="A333" s="299" t="s">
        <v>4732</v>
      </c>
      <c r="B333" s="298" t="s">
        <v>4733</v>
      </c>
      <c r="C333" s="306">
        <v>16</v>
      </c>
      <c r="D333" s="298" t="s">
        <v>4734</v>
      </c>
      <c r="E333" s="297" t="str">
        <f t="shared" si="15"/>
        <v>Géant</v>
      </c>
      <c r="F333" s="297" t="str">
        <f>VLOOKUP(E333,'Types de monstres'!$A$2:$B$17,2,FALSE)</f>
        <v>GIANT</v>
      </c>
      <c r="G333" s="297" t="str">
        <f t="shared" si="16"/>
        <v>géant des tempêtes</v>
      </c>
      <c r="H333" s="297" t="str">
        <f>IF(OR(G333="",G333="toute race"),"",VLOOKUP(G333,'Types de monstres'!$F$2:$G$49,2,FALSE))</f>
        <v>GIANT_STORMS</v>
      </c>
      <c r="I333" s="298" t="s">
        <v>4149</v>
      </c>
      <c r="J333" s="300">
        <v>12</v>
      </c>
      <c r="K333" s="300">
        <v>230</v>
      </c>
      <c r="L333" s="298" t="s">
        <v>4452</v>
      </c>
      <c r="M333" s="298" t="s">
        <v>4439</v>
      </c>
      <c r="N333" s="297" t="str">
        <f>IF(M333="sans alignement","",IF(M333="tout alignement", """1_LB"", ""2_NB"", ""3_CB"", ""4_LN"", ""5_NN"", ""6_CN"", ""7_LM"", ""8_NM"", ""9_CM""",IF(M333="tout alignement non bon", """4_LN"", ""5_NN"", ""6_CN"", ""7_LM"", ""8_NM"", ""9_CM""",IF(M333="tout alignement mauvais", """7_LM"", ""8_NM"", ""9_CM""",IF(M333="tout alignement chaotique", """3_CB"", ""6_CN"", ""9_CM""",IF(M333="tout alignement non loyal", """2_NB"", ""3_CB"", ""5_NN"", ""6_CN"", ""8_NM"", ""9_CM""",""""&amp;VLOOKUP(M333,Alignements!$A$2:$B$10,2, FALSE)&amp;""""))))))</f>
        <v>"3_CB"</v>
      </c>
      <c r="O333" s="298"/>
      <c r="P333" t="str">
        <f t="shared" si="17"/>
        <v>"Géant des tempêtes, quintessent": {
  "Name" : "Géant des tempêtes, quintessent",
  "VO" : "Storm Giant Quintessent",
  "Family" : "GIANT",
  "Species" : ["GIANT_STORMS"],
  "FP" : "16", 
  "Size" : "TG",
  "AC" : 12,
  "HP" : 230, 
  "Speed" : "vol, nage",
  "Alignments" : ["3_CB"],
  "Legendary" : ""}</v>
      </c>
    </row>
    <row r="334" spans="1:16">
      <c r="A334" s="61" t="s">
        <v>4735</v>
      </c>
      <c r="B334" s="297" t="s">
        <v>4736</v>
      </c>
      <c r="C334" s="305">
        <v>9</v>
      </c>
      <c r="D334" s="297" t="s">
        <v>2584</v>
      </c>
      <c r="E334" s="297" t="str">
        <f t="shared" si="15"/>
        <v>Géant</v>
      </c>
      <c r="F334" s="297" t="str">
        <f>VLOOKUP(E334,'Types de monstres'!$A$2:$B$17,2,FALSE)</f>
        <v>GIANT</v>
      </c>
      <c r="G334" s="297" t="str">
        <f t="shared" si="16"/>
        <v/>
      </c>
      <c r="H334" s="297" t="str">
        <f>IF(OR(G334="",G334="toute race"),"",VLOOKUP(G334,'Types de monstres'!$F$2:$G$49,2,FALSE))</f>
        <v/>
      </c>
      <c r="I334" s="297" t="s">
        <v>4149</v>
      </c>
      <c r="J334" s="302">
        <v>18</v>
      </c>
      <c r="K334" s="302">
        <v>162</v>
      </c>
      <c r="L334" s="297"/>
      <c r="M334" s="297" t="s">
        <v>4097</v>
      </c>
      <c r="N334" s="297" t="str">
        <f>IF(M334="sans alignement","",IF(M334="tout alignement", """1_LB"", ""2_NB"", ""3_CB"", ""4_LN"", ""5_NN"", ""6_CN"", ""7_LM"", ""8_NM"", ""9_CM""",IF(M334="tout alignement non bon", """4_LN"", ""5_NN"", ""6_CN"", ""7_LM"", ""8_NM"", ""9_CM""",IF(M334="tout alignement mauvais", """7_LM"", ""8_NM"", ""9_CM""",IF(M334="tout alignement chaotique", """3_CB"", ""6_CN"", ""9_CM""",IF(M334="tout alignement non loyal", """2_NB"", ""3_CB"", ""5_NN"", ""6_CN"", ""8_NM"", ""9_CM""",""""&amp;VLOOKUP(M334,Alignements!$A$2:$B$10,2, FALSE)&amp;""""))))))</f>
        <v>"7_LM"</v>
      </c>
      <c r="O334" s="297"/>
      <c r="P334" t="str">
        <f t="shared" si="17"/>
        <v>"Géant du feu": {
  "Name" : "Géant du feu",
  "VO" : "Fire Giant",
  "Family" : "GIANT",
  "Species" : [""],
  "FP" : "9", 
  "Size" : "TG",
  "AC" : 18,
  "HP" : 162, 
  "Speed" : "",
  "Alignments" : ["7_LM"],
  "Legendary" : ""}</v>
      </c>
    </row>
    <row r="335" spans="1:16" ht="21">
      <c r="A335" s="299" t="s">
        <v>4737</v>
      </c>
      <c r="B335" s="298" t="s">
        <v>4738</v>
      </c>
      <c r="C335" s="306">
        <v>14</v>
      </c>
      <c r="D335" s="298" t="s">
        <v>4739</v>
      </c>
      <c r="E335" s="297" t="str">
        <f t="shared" si="15"/>
        <v>Géant</v>
      </c>
      <c r="F335" s="297" t="str">
        <f>VLOOKUP(E335,'Types de monstres'!$A$2:$B$17,2,FALSE)</f>
        <v>GIANT</v>
      </c>
      <c r="G335" s="297" t="str">
        <f t="shared" si="16"/>
        <v>géant du feu</v>
      </c>
      <c r="H335" s="297" t="str">
        <f>IF(OR(G335="",G335="toute race"),"",VLOOKUP(G335,'Types de monstres'!$F$2:$G$49,2,FALSE))</f>
        <v>GIANT_FIRE</v>
      </c>
      <c r="I335" s="298" t="s">
        <v>4149</v>
      </c>
      <c r="J335" s="300">
        <v>21</v>
      </c>
      <c r="K335" s="300">
        <v>187</v>
      </c>
      <c r="L335" s="298"/>
      <c r="M335" s="298" t="s">
        <v>4097</v>
      </c>
      <c r="N335" s="297" t="str">
        <f>IF(M335="sans alignement","",IF(M335="tout alignement", """1_LB"", ""2_NB"", ""3_CB"", ""4_LN"", ""5_NN"", ""6_CN"", ""7_LM"", ""8_NM"", ""9_CM""",IF(M335="tout alignement non bon", """4_LN"", ""5_NN"", ""6_CN"", ""7_LM"", ""8_NM"", ""9_CM""",IF(M335="tout alignement mauvais", """7_LM"", ""8_NM"", ""9_CM""",IF(M335="tout alignement chaotique", """3_CB"", ""6_CN"", ""9_CM""",IF(M335="tout alignement non loyal", """2_NB"", ""3_CB"", ""5_NN"", ""6_CN"", ""8_NM"", ""9_CM""",""""&amp;VLOOKUP(M335,Alignements!$A$2:$B$10,2, FALSE)&amp;""""))))))</f>
        <v>"7_LM"</v>
      </c>
      <c r="O335" s="298"/>
      <c r="P335" t="str">
        <f t="shared" si="17"/>
        <v>"Géant du feu, cuirassé": {
  "Name" : "Géant du feu, cuirassé",
  "VO" : "Fire Giant Dreadnought",
  "Family" : "GIANT",
  "Species" : ["GIANT_FIRE"],
  "FP" : "14", 
  "Size" : "TG",
  "AC" : 21,
  "HP" : 187, 
  "Speed" : "",
  "Alignments" : ["7_LM"],
  "Legendary" : ""}</v>
      </c>
    </row>
    <row r="336" spans="1:16">
      <c r="A336" s="61" t="s">
        <v>4740</v>
      </c>
      <c r="B336" s="297" t="s">
        <v>4741</v>
      </c>
      <c r="C336" s="305">
        <v>8</v>
      </c>
      <c r="D336" s="297" t="s">
        <v>2584</v>
      </c>
      <c r="E336" s="297" t="str">
        <f t="shared" si="15"/>
        <v>Géant</v>
      </c>
      <c r="F336" s="297" t="str">
        <f>VLOOKUP(E336,'Types de monstres'!$A$2:$B$17,2,FALSE)</f>
        <v>GIANT</v>
      </c>
      <c r="G336" s="297" t="str">
        <f t="shared" si="16"/>
        <v/>
      </c>
      <c r="H336" s="297" t="str">
        <f>IF(OR(G336="",G336="toute race"),"",VLOOKUP(G336,'Types de monstres'!$F$2:$G$49,2,FALSE))</f>
        <v/>
      </c>
      <c r="I336" s="297" t="s">
        <v>4149</v>
      </c>
      <c r="J336" s="302">
        <v>15</v>
      </c>
      <c r="K336" s="302">
        <v>138</v>
      </c>
      <c r="L336" s="297"/>
      <c r="M336" s="297" t="s">
        <v>4118</v>
      </c>
      <c r="N336" s="297" t="str">
        <f>IF(M336="sans alignement","",IF(M336="tout alignement", """1_LB"", ""2_NB"", ""3_CB"", ""4_LN"", ""5_NN"", ""6_CN"", ""7_LM"", ""8_NM"", ""9_CM""",IF(M336="tout alignement non bon", """4_LN"", ""5_NN"", ""6_CN"", ""7_LM"", ""8_NM"", ""9_CM""",IF(M336="tout alignement mauvais", """7_LM"", ""8_NM"", ""9_CM""",IF(M336="tout alignement chaotique", """3_CB"", ""6_CN"", ""9_CM""",IF(M336="tout alignement non loyal", """2_NB"", ""3_CB"", ""5_NN"", ""6_CN"", ""8_NM"", ""9_CM""",""""&amp;VLOOKUP(M336,Alignements!$A$2:$B$10,2, FALSE)&amp;""""))))))</f>
        <v>"8_NM"</v>
      </c>
      <c r="O336" s="297"/>
      <c r="P336" t="str">
        <f t="shared" si="17"/>
        <v>"Géant du givre": {
  "Name" : "Géant du givre",
  "VO" : "Frost Giant",
  "Family" : "GIANT",
  "Species" : [""],
  "FP" : "8", 
  "Size" : "TG",
  "AC" : 15,
  "HP" : 138, 
  "Speed" : "",
  "Alignments" : ["8_NM"],
  "Legendary" : ""}</v>
      </c>
    </row>
    <row r="337" spans="1:16" ht="21">
      <c r="A337" s="299" t="s">
        <v>4742</v>
      </c>
      <c r="B337" s="298" t="s">
        <v>4743</v>
      </c>
      <c r="C337" s="306">
        <v>9</v>
      </c>
      <c r="D337" s="298" t="s">
        <v>4117</v>
      </c>
      <c r="E337" s="297" t="str">
        <f t="shared" si="15"/>
        <v>Mort-vivant</v>
      </c>
      <c r="F337" s="297" t="str">
        <f>VLOOKUP(E337,'Types de monstres'!$A$2:$B$17,2,FALSE)</f>
        <v>UNDEAD</v>
      </c>
      <c r="G337" s="297" t="str">
        <f t="shared" si="16"/>
        <v/>
      </c>
      <c r="H337" s="297" t="str">
        <f>IF(OR(G337="",G337="toute race"),"",VLOOKUP(G337,'Types de monstres'!$F$2:$G$49,2,FALSE))</f>
        <v/>
      </c>
      <c r="I337" s="298" t="s">
        <v>4149</v>
      </c>
      <c r="J337" s="300">
        <v>15</v>
      </c>
      <c r="K337" s="300">
        <v>138</v>
      </c>
      <c r="L337" s="298"/>
      <c r="M337" s="298" t="s">
        <v>4118</v>
      </c>
      <c r="N337" s="297" t="str">
        <f>IF(M337="sans alignement","",IF(M337="tout alignement", """1_LB"", ""2_NB"", ""3_CB"", ""4_LN"", ""5_NN"", ""6_CN"", ""7_LM"", ""8_NM"", ""9_CM""",IF(M337="tout alignement non bon", """4_LN"", ""5_NN"", ""6_CN"", ""7_LM"", ""8_NM"", ""9_CM""",IF(M337="tout alignement mauvais", """7_LM"", ""8_NM"", ""9_CM""",IF(M337="tout alignement chaotique", """3_CB"", ""6_CN"", ""9_CM""",IF(M337="tout alignement non loyal", """2_NB"", ""3_CB"", ""5_NN"", ""6_CN"", ""8_NM"", ""9_CM""",""""&amp;VLOOKUP(M337,Alignements!$A$2:$B$10,2, FALSE)&amp;""""))))))</f>
        <v>"8_NM"</v>
      </c>
      <c r="O337" s="298"/>
      <c r="P337" t="str">
        <f t="shared" si="17"/>
        <v>"Géant du givre zombi": {
  "Name" : "Géant du givre zombi",
  "VO" : "Frost Giant Zombie",
  "Family" : "UNDEAD",
  "Species" : [""],
  "FP" : "9", 
  "Size" : "TG",
  "AC" : 15,
  "HP" : 138, 
  "Speed" : "",
  "Alignments" : ["8_NM"],
  "Legendary" : ""}</v>
      </c>
    </row>
    <row r="338" spans="1:16" ht="21">
      <c r="A338" s="301" t="s">
        <v>4744</v>
      </c>
      <c r="B338" s="297" t="s">
        <v>4745</v>
      </c>
      <c r="C338" s="305">
        <v>12</v>
      </c>
      <c r="D338" s="297" t="s">
        <v>4746</v>
      </c>
      <c r="E338" s="297" t="str">
        <f t="shared" si="15"/>
        <v>Géant</v>
      </c>
      <c r="F338" s="297" t="str">
        <f>VLOOKUP(E338,'Types de monstres'!$A$2:$B$17,2,FALSE)</f>
        <v>GIANT</v>
      </c>
      <c r="G338" s="297" t="str">
        <f t="shared" si="16"/>
        <v>géant du givre</v>
      </c>
      <c r="H338" s="297" t="str">
        <f>IF(OR(G338="",G338="toute race"),"",VLOOKUP(G338,'Types de monstres'!$F$2:$G$49,2,FALSE))</f>
        <v>GIANT_FROSTED</v>
      </c>
      <c r="I338" s="297" t="s">
        <v>4149</v>
      </c>
      <c r="J338" s="302">
        <v>15</v>
      </c>
      <c r="K338" s="302">
        <v>189</v>
      </c>
      <c r="L338" s="297"/>
      <c r="M338" s="297" t="s">
        <v>4137</v>
      </c>
      <c r="N338" s="297" t="str">
        <f>IF(M338="sans alignement","",IF(M338="tout alignement", """1_LB"", ""2_NB"", ""3_CB"", ""4_LN"", ""5_NN"", ""6_CN"", ""7_LM"", ""8_NM"", ""9_CM""",IF(M338="tout alignement non bon", """4_LN"", ""5_NN"", ""6_CN"", ""7_LM"", ""8_NM"", ""9_CM""",IF(M338="tout alignement mauvais", """7_LM"", ""8_NM"", ""9_CM""",IF(M338="tout alignement chaotique", """3_CB"", ""6_CN"", ""9_CM""",IF(M338="tout alignement non loyal", """2_NB"", ""3_CB"", ""5_NN"", ""6_CN"", ""8_NM"", ""9_CM""",""""&amp;VLOOKUP(M338,Alignements!$A$2:$B$10,2, FALSE)&amp;""""))))))</f>
        <v>"9_CM"</v>
      </c>
      <c r="O338" s="297"/>
      <c r="P338" t="str">
        <f t="shared" si="17"/>
        <v>"Géant du givre, éternel": {
  "Name" : "Géant du givre, éternel",
  "VO" : "Frost Giant Everlasting One",
  "Family" : "GIANT",
  "Species" : ["GIANT_FROSTED"],
  "FP" : "12", 
  "Size" : "TG",
  "AC" : 15,
  "HP" : 189, 
  "Speed" : "",
  "Alignments" : ["9_CM"],
  "Legendary" : ""}</v>
      </c>
    </row>
    <row r="339" spans="1:16">
      <c r="A339" s="61" t="s">
        <v>4747</v>
      </c>
      <c r="B339" s="298" t="s">
        <v>4748</v>
      </c>
      <c r="C339" s="306">
        <v>2</v>
      </c>
      <c r="D339" s="298" t="s">
        <v>4376</v>
      </c>
      <c r="E339" s="297" t="str">
        <f t="shared" si="15"/>
        <v>Vase</v>
      </c>
      <c r="F339" s="297" t="str">
        <f>VLOOKUP(E339,'Types de monstres'!$A$2:$B$17,2,FALSE)</f>
        <v>MUD</v>
      </c>
      <c r="G339" s="297" t="str">
        <f t="shared" si="16"/>
        <v/>
      </c>
      <c r="H339" s="297" t="str">
        <f>IF(OR(G339="",G339="toute race"),"",VLOOKUP(G339,'Types de monstres'!$F$2:$G$49,2,FALSE))</f>
        <v/>
      </c>
      <c r="I339" s="298" t="s">
        <v>4112</v>
      </c>
      <c r="J339" s="300">
        <v>8</v>
      </c>
      <c r="K339" s="300">
        <v>45</v>
      </c>
      <c r="L339" s="298"/>
      <c r="M339" s="298" t="s">
        <v>4130</v>
      </c>
      <c r="N339" s="297" t="str">
        <f>IF(M339="sans alignement","",IF(M339="tout alignement", """1_LB"", ""2_NB"", ""3_CB"", ""4_LN"", ""5_NN"", ""6_CN"", ""7_LM"", ""8_NM"", ""9_CM""",IF(M339="tout alignement non bon", """4_LN"", ""5_NN"", ""6_CN"", ""7_LM"", ""8_NM"", ""9_CM""",IF(M339="tout alignement mauvais", """7_LM"", ""8_NM"", ""9_CM""",IF(M339="tout alignement chaotique", """3_CB"", ""6_CN"", ""9_CM""",IF(M339="tout alignement non loyal", """2_NB"", ""3_CB"", ""5_NN"", ""6_CN"", ""8_NM"", ""9_CM""",""""&amp;VLOOKUP(M339,Alignements!$A$2:$B$10,2, FALSE)&amp;""""))))))</f>
        <v/>
      </c>
      <c r="O339" s="298"/>
      <c r="P339" t="str">
        <f t="shared" si="17"/>
        <v>"Gelée ocre": {
  "Name" : "Gelée ocre",
  "VO" : "Ochre Jelly",
  "Family" : "MUD",
  "Species" : [""],
  "FP" : "2", 
  "Size" : "G",
  "AC" : 8,
  "HP" : 45, 
  "Speed" : "",
  "Alignments" : [],
  "Legendary" : ""}</v>
      </c>
    </row>
    <row r="340" spans="1:16">
      <c r="A340" s="301" t="s">
        <v>4749</v>
      </c>
      <c r="B340" s="297" t="s">
        <v>4749</v>
      </c>
      <c r="C340" s="305">
        <v>22</v>
      </c>
      <c r="D340" s="297" t="s">
        <v>4096</v>
      </c>
      <c r="E340" s="297" t="str">
        <f t="shared" si="15"/>
        <v>Fiélon</v>
      </c>
      <c r="F340" s="297" t="str">
        <f>VLOOKUP(E340,'Types de monstres'!$A$2:$B$17,2,FALSE)</f>
        <v>FIEND</v>
      </c>
      <c r="G340" s="297" t="str">
        <f t="shared" si="16"/>
        <v>diable</v>
      </c>
      <c r="H340" s="297" t="str">
        <f>IF(OR(G340="",G340="toute race"),"",VLOOKUP(G340,'Types de monstres'!$F$2:$G$49,2,FALSE))</f>
        <v>DEVIL</v>
      </c>
      <c r="I340" s="297" t="s">
        <v>4149</v>
      </c>
      <c r="J340" s="302">
        <v>19</v>
      </c>
      <c r="K340" s="302">
        <v>300</v>
      </c>
      <c r="L340" s="297" t="s">
        <v>4092</v>
      </c>
      <c r="M340" s="297" t="s">
        <v>4097</v>
      </c>
      <c r="N340" s="297" t="str">
        <f>IF(M340="sans alignement","",IF(M340="tout alignement", """1_LB"", ""2_NB"", ""3_CB"", ""4_LN"", ""5_NN"", ""6_CN"", ""7_LM"", ""8_NM"", ""9_CM""",IF(M340="tout alignement non bon", """4_LN"", ""5_NN"", ""6_CN"", ""7_LM"", ""8_NM"", ""9_CM""",IF(M340="tout alignement mauvais", """7_LM"", ""8_NM"", ""9_CM""",IF(M340="tout alignement chaotique", """3_CB"", ""6_CN"", ""9_CM""",IF(M340="tout alignement non loyal", """2_NB"", ""3_CB"", ""5_NN"", ""6_CN"", ""8_NM"", ""9_CM""",""""&amp;VLOOKUP(M340,Alignements!$A$2:$B$10,2, FALSE)&amp;""""))))))</f>
        <v>"7_LM"</v>
      </c>
      <c r="O340" s="297"/>
      <c r="P340" t="str">
        <f t="shared" si="17"/>
        <v>"Geryon": {
  "Name" : "Geryon",
  "VO" : "Geryon",
  "Family" : "FIEND",
  "Species" : ["DEVIL"],
  "FP" : "22", 
  "Size" : "TG",
  "AC" : 19,
  "HP" : 300, 
  "Speed" : "vol",
  "Alignments" : ["7_LM"],
  "Legendary" : ""}</v>
      </c>
    </row>
    <row r="341" spans="1:16">
      <c r="A341" s="299" t="s">
        <v>4750</v>
      </c>
      <c r="B341" s="298" t="s">
        <v>4750</v>
      </c>
      <c r="C341" s="306">
        <v>3</v>
      </c>
      <c r="D341" s="298" t="s">
        <v>4703</v>
      </c>
      <c r="E341" s="297" t="str">
        <f t="shared" si="15"/>
        <v>Humanoïde</v>
      </c>
      <c r="F341" s="297" t="str">
        <f>VLOOKUP(E341,'Types de monstres'!$A$2:$B$17,2,FALSE)</f>
        <v>HUMANOID</v>
      </c>
      <c r="G341" s="297" t="str">
        <f t="shared" si="16"/>
        <v/>
      </c>
      <c r="H341" s="297" t="str">
        <f>IF(OR(G341="",G341="toute race"),"",VLOOKUP(G341,'Types de monstres'!$F$2:$G$49,2,FALSE))</f>
        <v/>
      </c>
      <c r="I341" s="298" t="s">
        <v>4091</v>
      </c>
      <c r="J341" s="300">
        <v>16</v>
      </c>
      <c r="K341" s="300">
        <v>60</v>
      </c>
      <c r="L341" s="298"/>
      <c r="M341" s="298" t="s">
        <v>4145</v>
      </c>
      <c r="N341" s="297" t="str">
        <f>IF(M341="sans alignement","",IF(M341="tout alignement", """1_LB"", ""2_NB"", ""3_CB"", ""4_LN"", ""5_NN"", ""6_CN"", ""7_LM"", ""8_NM"", ""9_CM""",IF(M341="tout alignement non bon", """4_LN"", ""5_NN"", ""6_CN"", ""7_LM"", ""8_NM"", ""9_CM""",IF(M341="tout alignement mauvais", """7_LM"", ""8_NM"", ""9_CM""",IF(M341="tout alignement chaotique", """3_CB"", ""6_CN"", ""9_CM""",IF(M341="tout alignement non loyal", """2_NB"", ""3_CB"", ""5_NN"", ""6_CN"", ""8_NM"", ""9_CM""",""""&amp;VLOOKUP(M341,Alignements!$A$2:$B$10,2, FALSE)&amp;""""))))))</f>
        <v>"4_LN"</v>
      </c>
      <c r="O341" s="298"/>
      <c r="P341" t="str">
        <f t="shared" si="17"/>
        <v>"Giff": {
  "Name" : "Giff",
  "VO" : "Giff",
  "Family" : "HUMANOID",
  "Species" : [""],
  "FP" : "3", 
  "Size" : "M",
  "AC" : 16,
  "HP" : 60, 
  "Speed" : "",
  "Alignments" : ["4_LN"],
  "Legendary" : ""}</v>
      </c>
    </row>
    <row r="342" spans="1:16">
      <c r="A342" s="61" t="s">
        <v>4751</v>
      </c>
      <c r="B342" s="297" t="s">
        <v>4751</v>
      </c>
      <c r="C342" s="305">
        <v>4</v>
      </c>
      <c r="D342" s="297" t="s">
        <v>4121</v>
      </c>
      <c r="E342" s="297" t="str">
        <f t="shared" si="15"/>
        <v>Créature monstrueuse</v>
      </c>
      <c r="F342" s="297" t="str">
        <f>VLOOKUP(E342,'Types de monstres'!$A$2:$B$17,2,FALSE)</f>
        <v>MONSTROUS_CREATURE</v>
      </c>
      <c r="G342" s="297" t="str">
        <f t="shared" si="16"/>
        <v/>
      </c>
      <c r="H342" s="297" t="str">
        <f>IF(OR(G342="",G342="toute race"),"",VLOOKUP(G342,'Types de monstres'!$F$2:$G$49,2,FALSE))</f>
        <v/>
      </c>
      <c r="I342" s="297" t="s">
        <v>4112</v>
      </c>
      <c r="J342" s="302">
        <v>13</v>
      </c>
      <c r="K342" s="302">
        <v>59</v>
      </c>
      <c r="L342" s="297"/>
      <c r="M342" s="297" t="s">
        <v>4130</v>
      </c>
      <c r="N342" s="297" t="str">
        <f>IF(M342="sans alignement","",IF(M342="tout alignement", """1_LB"", ""2_NB"", ""3_CB"", ""4_LN"", ""5_NN"", ""6_CN"", ""7_LM"", ""8_NM"", ""9_CM""",IF(M342="tout alignement non bon", """4_LN"", ""5_NN"", ""6_CN"", ""7_LM"", ""8_NM"", ""9_CM""",IF(M342="tout alignement mauvais", """7_LM"", ""8_NM"", ""9_CM""",IF(M342="tout alignement chaotique", """3_CB"", ""6_CN"", ""9_CM""",IF(M342="tout alignement non loyal", """2_NB"", ""3_CB"", ""5_NN"", ""6_CN"", ""8_NM"", ""9_CM""",""""&amp;VLOOKUP(M342,Alignements!$A$2:$B$10,2, FALSE)&amp;""""))))))</f>
        <v/>
      </c>
      <c r="O342" s="297"/>
      <c r="P342" t="str">
        <f t="shared" si="17"/>
        <v>"Girallon": {
  "Name" : "Girallon",
  "VO" : "Girallon",
  "Family" : "MONSTROUS_CREATURE",
  "Species" : [""],
  "FP" : "4", 
  "Size" : "G",
  "AC" : 13,
  "HP" : 59, 
  "Speed" : "",
  "Alignments" : [],
  "Legendary" : ""}</v>
      </c>
    </row>
    <row r="343" spans="1:16">
      <c r="A343" s="61" t="s">
        <v>4752</v>
      </c>
      <c r="B343" s="298" t="s">
        <v>4753</v>
      </c>
      <c r="C343" s="306">
        <v>8</v>
      </c>
      <c r="D343" s="298" t="s">
        <v>4754</v>
      </c>
      <c r="E343" s="297" t="str">
        <f t="shared" si="15"/>
        <v>Humanoïde</v>
      </c>
      <c r="F343" s="297" t="str">
        <f>VLOOKUP(E343,'Types de monstres'!$A$2:$B$17,2,FALSE)</f>
        <v>HUMANOID</v>
      </c>
      <c r="G343" s="297" t="str">
        <f t="shared" si="16"/>
        <v>gith</v>
      </c>
      <c r="H343" s="297" t="str">
        <f>IF(OR(G343="",G343="toute race"),"",VLOOKUP(G343,'Types de monstres'!$F$2:$G$49,2,FALSE))</f>
        <v>GITH</v>
      </c>
      <c r="I343" s="298" t="s">
        <v>4091</v>
      </c>
      <c r="J343" s="300">
        <v>18</v>
      </c>
      <c r="K343" s="300">
        <v>91</v>
      </c>
      <c r="L343" s="298"/>
      <c r="M343" s="298" t="s">
        <v>4097</v>
      </c>
      <c r="N343" s="297" t="str">
        <f>IF(M343="sans alignement","",IF(M343="tout alignement", """1_LB"", ""2_NB"", ""3_CB"", ""4_LN"", ""5_NN"", ""6_CN"", ""7_LM"", ""8_NM"", ""9_CM""",IF(M343="tout alignement non bon", """4_LN"", ""5_NN"", ""6_CN"", ""7_LM"", ""8_NM"", ""9_CM""",IF(M343="tout alignement mauvais", """7_LM"", ""8_NM"", ""9_CM""",IF(M343="tout alignement chaotique", """3_CB"", ""6_CN"", ""9_CM""",IF(M343="tout alignement non loyal", """2_NB"", ""3_CB"", ""5_NN"", ""6_CN"", ""8_NM"", ""9_CM""",""""&amp;VLOOKUP(M343,Alignements!$A$2:$B$10,2, FALSE)&amp;""""))))))</f>
        <v>"7_LM"</v>
      </c>
      <c r="O343" s="298"/>
      <c r="P343" t="str">
        <f t="shared" si="17"/>
        <v>"Githyanki, chevalier": {
  "Name" : "Githyanki, chevalier",
  "VO" : "Githyanki Knight",
  "Family" : "HUMANOID",
  "Species" : ["GITH"],
  "FP" : "8", 
  "Size" : "M",
  "AC" : 18,
  "HP" : 91, 
  "Speed" : "",
  "Alignments" : ["7_LM"],
  "Legendary" : ""}</v>
      </c>
    </row>
    <row r="344" spans="1:16" ht="31.5">
      <c r="A344" s="301" t="s">
        <v>4755</v>
      </c>
      <c r="B344" s="297" t="s">
        <v>4756</v>
      </c>
      <c r="C344" s="305">
        <v>14</v>
      </c>
      <c r="D344" s="297" t="s">
        <v>4754</v>
      </c>
      <c r="E344" s="297" t="str">
        <f t="shared" si="15"/>
        <v>Humanoïde</v>
      </c>
      <c r="F344" s="297" t="str">
        <f>VLOOKUP(E344,'Types de monstres'!$A$2:$B$17,2,FALSE)</f>
        <v>HUMANOID</v>
      </c>
      <c r="G344" s="297" t="str">
        <f t="shared" si="16"/>
        <v>gith</v>
      </c>
      <c r="H344" s="297" t="str">
        <f>IF(OR(G344="",G344="toute race"),"",VLOOKUP(G344,'Types de monstres'!$F$2:$G$49,2,FALSE))</f>
        <v>GITH</v>
      </c>
      <c r="I344" s="297" t="s">
        <v>4091</v>
      </c>
      <c r="J344" s="302">
        <v>18</v>
      </c>
      <c r="K344" s="302">
        <v>187</v>
      </c>
      <c r="L344" s="297"/>
      <c r="M344" s="297" t="s">
        <v>4097</v>
      </c>
      <c r="N344" s="297" t="str">
        <f>IF(M344="sans alignement","",IF(M344="tout alignement", """1_LB"", ""2_NB"", ""3_CB"", ""4_LN"", ""5_NN"", ""6_CN"", ""7_LM"", ""8_NM"", ""9_CM""",IF(M344="tout alignement non bon", """4_LN"", ""5_NN"", ""6_CN"", ""7_LM"", ""8_NM"", ""9_CM""",IF(M344="tout alignement mauvais", """7_LM"", ""8_NM"", ""9_CM""",IF(M344="tout alignement chaotique", """3_CB"", ""6_CN"", ""9_CM""",IF(M344="tout alignement non loyal", """2_NB"", ""3_CB"", ""5_NN"", ""6_CN"", ""8_NM"", ""9_CM""",""""&amp;VLOOKUP(M344,Alignements!$A$2:$B$10,2, FALSE)&amp;""""))))))</f>
        <v>"7_LM"</v>
      </c>
      <c r="O344" s="297"/>
      <c r="P344" t="str">
        <f t="shared" si="17"/>
        <v>"Githyanki, commandant suprême": {
  "Name" : "Githyanki, commandant suprême",
  "VO" : "Githyanki Supreme Commander",
  "Family" : "HUMANOID",
  "Species" : ["GITH"],
  "FP" : "14", 
  "Size" : "M",
  "AC" : 18,
  "HP" : 187, 
  "Speed" : "",
  "Alignments" : ["7_LM"],
  "Legendary" : ""}</v>
      </c>
    </row>
    <row r="345" spans="1:16">
      <c r="A345" s="299" t="s">
        <v>4757</v>
      </c>
      <c r="B345" s="298" t="s">
        <v>4758</v>
      </c>
      <c r="C345" s="306">
        <v>10</v>
      </c>
      <c r="D345" s="298" t="s">
        <v>4754</v>
      </c>
      <c r="E345" s="297" t="str">
        <f t="shared" si="15"/>
        <v>Humanoïde</v>
      </c>
      <c r="F345" s="297" t="str">
        <f>VLOOKUP(E345,'Types de monstres'!$A$2:$B$17,2,FALSE)</f>
        <v>HUMANOID</v>
      </c>
      <c r="G345" s="297" t="str">
        <f t="shared" si="16"/>
        <v>gith</v>
      </c>
      <c r="H345" s="297" t="str">
        <f>IF(OR(G345="",G345="toute race"),"",VLOOKUP(G345,'Types de monstres'!$F$2:$G$49,2,FALSE))</f>
        <v>GITH</v>
      </c>
      <c r="I345" s="298" t="s">
        <v>4091</v>
      </c>
      <c r="J345" s="300">
        <v>17</v>
      </c>
      <c r="K345" s="300">
        <v>123</v>
      </c>
      <c r="L345" s="298"/>
      <c r="M345" s="298" t="s">
        <v>4097</v>
      </c>
      <c r="N345" s="297" t="str">
        <f>IF(M345="sans alignement","",IF(M345="tout alignement", """1_LB"", ""2_NB"", ""3_CB"", ""4_LN"", ""5_NN"", ""6_CN"", ""7_LM"", ""8_NM"", ""9_CM""",IF(M345="tout alignement non bon", """4_LN"", ""5_NN"", ""6_CN"", ""7_LM"", ""8_NM"", ""9_CM""",IF(M345="tout alignement mauvais", """7_LM"", ""8_NM"", ""9_CM""",IF(M345="tout alignement chaotique", """3_CB"", ""6_CN"", ""9_CM""",IF(M345="tout alignement non loyal", """2_NB"", ""3_CB"", ""5_NN"", ""6_CN"", ""8_NM"", ""9_CM""",""""&amp;VLOOKUP(M345,Alignements!$A$2:$B$10,2, FALSE)&amp;""""))))))</f>
        <v>"7_LM"</v>
      </c>
      <c r="O345" s="298"/>
      <c r="P345" t="str">
        <f t="shared" si="17"/>
        <v>"Githyanki, gish": {
  "Name" : "Githyanki, gish",
  "VO" : "Githyanki Gish",
  "Family" : "HUMANOID",
  "Species" : ["GITH"],
  "FP" : "10", 
  "Size" : "M",
  "AC" : 17,
  "HP" : 123, 
  "Speed" : "",
  "Alignments" : ["7_LM"],
  "Legendary" : ""}</v>
      </c>
    </row>
    <row r="346" spans="1:16">
      <c r="A346" s="61" t="s">
        <v>4759</v>
      </c>
      <c r="B346" s="297" t="s">
        <v>4760</v>
      </c>
      <c r="C346" s="305">
        <v>3</v>
      </c>
      <c r="D346" s="297" t="s">
        <v>4754</v>
      </c>
      <c r="E346" s="297" t="str">
        <f t="shared" si="15"/>
        <v>Humanoïde</v>
      </c>
      <c r="F346" s="297" t="str">
        <f>VLOOKUP(E346,'Types de monstres'!$A$2:$B$17,2,FALSE)</f>
        <v>HUMANOID</v>
      </c>
      <c r="G346" s="297" t="str">
        <f t="shared" si="16"/>
        <v>gith</v>
      </c>
      <c r="H346" s="297" t="str">
        <f>IF(OR(G346="",G346="toute race"),"",VLOOKUP(G346,'Types de monstres'!$F$2:$G$49,2,FALSE))</f>
        <v>GITH</v>
      </c>
      <c r="I346" s="297" t="s">
        <v>4091</v>
      </c>
      <c r="J346" s="302">
        <v>17</v>
      </c>
      <c r="K346" s="302">
        <v>49</v>
      </c>
      <c r="L346" s="297"/>
      <c r="M346" s="297" t="s">
        <v>4097</v>
      </c>
      <c r="N346" s="297" t="str">
        <f>IF(M346="sans alignement","",IF(M346="tout alignement", """1_LB"", ""2_NB"", ""3_CB"", ""4_LN"", ""5_NN"", ""6_CN"", ""7_LM"", ""8_NM"", ""9_CM""",IF(M346="tout alignement non bon", """4_LN"", ""5_NN"", ""6_CN"", ""7_LM"", ""8_NM"", ""9_CM""",IF(M346="tout alignement mauvais", """7_LM"", ""8_NM"", ""9_CM""",IF(M346="tout alignement chaotique", """3_CB"", ""6_CN"", ""9_CM""",IF(M346="tout alignement non loyal", """2_NB"", ""3_CB"", ""5_NN"", ""6_CN"", ""8_NM"", ""9_CM""",""""&amp;VLOOKUP(M346,Alignements!$A$2:$B$10,2, FALSE)&amp;""""))))))</f>
        <v>"7_LM"</v>
      </c>
      <c r="O346" s="297"/>
      <c r="P346" t="str">
        <f t="shared" si="17"/>
        <v>"Githyanki, guerrier": {
  "Name" : "Githyanki, guerrier",
  "VO" : "Githyanki Warrior",
  "Family" : "HUMANOID",
  "Species" : ["GITH"],
  "FP" : "3", 
  "Size" : "M",
  "AC" : 17,
  "HP" : 49, 
  "Speed" : "",
  "Alignments" : ["7_LM"],
  "Legendary" : ""}</v>
      </c>
    </row>
    <row r="347" spans="1:16">
      <c r="A347" s="299" t="s">
        <v>4761</v>
      </c>
      <c r="B347" s="298" t="s">
        <v>4762</v>
      </c>
      <c r="C347" s="306">
        <v>12</v>
      </c>
      <c r="D347" s="298" t="s">
        <v>4754</v>
      </c>
      <c r="E347" s="297" t="str">
        <f t="shared" si="15"/>
        <v>Humanoïde</v>
      </c>
      <c r="F347" s="297" t="str">
        <f>VLOOKUP(E347,'Types de monstres'!$A$2:$B$17,2,FALSE)</f>
        <v>HUMANOID</v>
      </c>
      <c r="G347" s="297" t="str">
        <f t="shared" si="16"/>
        <v>gith</v>
      </c>
      <c r="H347" s="297" t="str">
        <f>IF(OR(G347="",G347="toute race"),"",VLOOKUP(G347,'Types de monstres'!$F$2:$G$49,2,FALSE))</f>
        <v>GITH</v>
      </c>
      <c r="I347" s="298" t="s">
        <v>4091</v>
      </c>
      <c r="J347" s="300">
        <v>18</v>
      </c>
      <c r="K347" s="300">
        <v>180</v>
      </c>
      <c r="L347" s="298"/>
      <c r="M347" s="298" t="s">
        <v>4097</v>
      </c>
      <c r="N347" s="297" t="str">
        <f>IF(M347="sans alignement","",IF(M347="tout alignement", """1_LB"", ""2_NB"", ""3_CB"", ""4_LN"", ""5_NN"", ""6_CN"", ""7_LM"", ""8_NM"", ""9_CM""",IF(M347="tout alignement non bon", """4_LN"", ""5_NN"", ""6_CN"", ""7_LM"", ""8_NM"", ""9_CM""",IF(M347="tout alignement mauvais", """7_LM"", ""8_NM"", ""9_CM""",IF(M347="tout alignement chaotique", """3_CB"", ""6_CN"", ""9_CM""",IF(M347="tout alignement non loyal", """2_NB"", ""3_CB"", ""5_NN"", ""6_CN"", ""8_NM"", ""9_CM""",""""&amp;VLOOKUP(M347,Alignements!$A$2:$B$10,2, FALSE)&amp;""""))))))</f>
        <v>"7_LM"</v>
      </c>
      <c r="O347" s="298"/>
      <c r="P347" t="str">
        <f t="shared" si="17"/>
        <v>"Githyanki, kith' rak": {
  "Name" : "Githyanki, kith' rak",
  "VO" : "Githyanki Kith' Rak",
  "Family" : "HUMANOID",
  "Species" : ["GITH"],
  "FP" : "12", 
  "Size" : "M",
  "AC" : 18,
  "HP" : 180, 
  "Speed" : "",
  "Alignments" : ["7_LM"],
  "Legendary" : ""}</v>
      </c>
    </row>
    <row r="348" spans="1:16">
      <c r="A348" s="301" t="s">
        <v>4763</v>
      </c>
      <c r="B348" s="297" t="s">
        <v>4764</v>
      </c>
      <c r="C348" s="305">
        <v>16</v>
      </c>
      <c r="D348" s="297" t="s">
        <v>4754</v>
      </c>
      <c r="E348" s="297" t="str">
        <f t="shared" si="15"/>
        <v>Humanoïde</v>
      </c>
      <c r="F348" s="297" t="str">
        <f>VLOOKUP(E348,'Types de monstres'!$A$2:$B$17,2,FALSE)</f>
        <v>HUMANOID</v>
      </c>
      <c r="G348" s="297" t="str">
        <f t="shared" si="16"/>
        <v>gith</v>
      </c>
      <c r="H348" s="297" t="str">
        <f>IF(OR(G348="",G348="toute race"),"",VLOOKUP(G348,'Types de monstres'!$F$2:$G$49,2,FALSE))</f>
        <v>GITH</v>
      </c>
      <c r="I348" s="297" t="s">
        <v>4091</v>
      </c>
      <c r="J348" s="302">
        <v>20</v>
      </c>
      <c r="K348" s="302">
        <v>144</v>
      </c>
      <c r="L348" s="297" t="s">
        <v>4092</v>
      </c>
      <c r="M348" s="297" t="s">
        <v>4145</v>
      </c>
      <c r="N348" s="297" t="str">
        <f>IF(M348="sans alignement","",IF(M348="tout alignement", """1_LB"", ""2_NB"", ""3_CB"", ""4_LN"", ""5_NN"", ""6_CN"", ""7_LM"", ""8_NM"", ""9_CM""",IF(M348="tout alignement non bon", """4_LN"", ""5_NN"", ""6_CN"", ""7_LM"", ""8_NM"", ""9_CM""",IF(M348="tout alignement mauvais", """7_LM"", ""8_NM"", ""9_CM""",IF(M348="tout alignement chaotique", """3_CB"", ""6_CN"", ""9_CM""",IF(M348="tout alignement non loyal", """2_NB"", ""3_CB"", ""5_NN"", ""6_CN"", ""8_NM"", ""9_CM""",""""&amp;VLOOKUP(M348,Alignements!$A$2:$B$10,2, FALSE)&amp;""""))))))</f>
        <v>"4_LN"</v>
      </c>
      <c r="O348" s="297"/>
      <c r="P348" t="str">
        <f t="shared" si="17"/>
        <v>"Githzerai, anarque": {
  "Name" : "Githzerai, anarque",
  "VO" : "Githzerai Anarch",
  "Family" : "HUMANOID",
  "Species" : ["GITH"],
  "FP" : "16", 
  "Size" : "M",
  "AC" : 20,
  "HP" : 144, 
  "Speed" : "vol",
  "Alignments" : ["4_LN"],
  "Legendary" : ""}</v>
      </c>
    </row>
    <row r="349" spans="1:16" ht="21">
      <c r="A349" s="299" t="s">
        <v>4765</v>
      </c>
      <c r="B349" s="298" t="s">
        <v>4766</v>
      </c>
      <c r="C349" s="306">
        <v>10</v>
      </c>
      <c r="D349" s="298" t="s">
        <v>4754</v>
      </c>
      <c r="E349" s="297" t="str">
        <f t="shared" si="15"/>
        <v>Humanoïde</v>
      </c>
      <c r="F349" s="297" t="str">
        <f>VLOOKUP(E349,'Types de monstres'!$A$2:$B$17,2,FALSE)</f>
        <v>HUMANOID</v>
      </c>
      <c r="G349" s="297" t="str">
        <f t="shared" si="16"/>
        <v>gith</v>
      </c>
      <c r="H349" s="297" t="str">
        <f>IF(OR(G349="",G349="toute race"),"",VLOOKUP(G349,'Types de monstres'!$F$2:$G$49,2,FALSE))</f>
        <v>GITH</v>
      </c>
      <c r="I349" s="298" t="s">
        <v>4091</v>
      </c>
      <c r="J349" s="300">
        <v>18</v>
      </c>
      <c r="K349" s="300">
        <v>112</v>
      </c>
      <c r="L349" s="298"/>
      <c r="M349" s="298" t="s">
        <v>4145</v>
      </c>
      <c r="N349" s="297" t="str">
        <f>IF(M349="sans alignement","",IF(M349="tout alignement", """1_LB"", ""2_NB"", ""3_CB"", ""4_LN"", ""5_NN"", ""6_CN"", ""7_LM"", ""8_NM"", ""9_CM""",IF(M349="tout alignement non bon", """4_LN"", ""5_NN"", ""6_CN"", ""7_LM"", ""8_NM"", ""9_CM""",IF(M349="tout alignement mauvais", """7_LM"", ""8_NM"", ""9_CM""",IF(M349="tout alignement chaotique", """3_CB"", ""6_CN"", ""9_CM""",IF(M349="tout alignement non loyal", """2_NB"", ""3_CB"", ""5_NN"", ""6_CN"", ""8_NM"", ""9_CM""",""""&amp;VLOOKUP(M349,Alignements!$A$2:$B$10,2, FALSE)&amp;""""))))))</f>
        <v>"4_LN"</v>
      </c>
      <c r="O349" s="298"/>
      <c r="P349" t="str">
        <f t="shared" si="17"/>
        <v>"Githzerai, éclairé": {
  "Name" : "Githzerai, éclairé",
  "VO" : "Githzerai Enlightned",
  "Family" : "HUMANOID",
  "Species" : ["GITH"],
  "FP" : "10", 
  "Size" : "M",
  "AC" : 18,
  "HP" : 112, 
  "Speed" : "",
  "Alignments" : ["4_LN"],
  "Legendary" : ""}</v>
      </c>
    </row>
    <row r="350" spans="1:16">
      <c r="A350" s="61" t="s">
        <v>4767</v>
      </c>
      <c r="B350" s="297" t="s">
        <v>4768</v>
      </c>
      <c r="C350" s="305">
        <v>2</v>
      </c>
      <c r="D350" s="297" t="s">
        <v>4754</v>
      </c>
      <c r="E350" s="297" t="str">
        <f t="shared" si="15"/>
        <v>Humanoïde</v>
      </c>
      <c r="F350" s="297" t="str">
        <f>VLOOKUP(E350,'Types de monstres'!$A$2:$B$17,2,FALSE)</f>
        <v>HUMANOID</v>
      </c>
      <c r="G350" s="297" t="str">
        <f t="shared" si="16"/>
        <v>gith</v>
      </c>
      <c r="H350" s="297" t="str">
        <f>IF(OR(G350="",G350="toute race"),"",VLOOKUP(G350,'Types de monstres'!$F$2:$G$49,2,FALSE))</f>
        <v>GITH</v>
      </c>
      <c r="I350" s="297" t="s">
        <v>4091</v>
      </c>
      <c r="J350" s="302">
        <v>14</v>
      </c>
      <c r="K350" s="302">
        <v>38</v>
      </c>
      <c r="L350" s="297"/>
      <c r="M350" s="297" t="s">
        <v>4145</v>
      </c>
      <c r="N350" s="297" t="str">
        <f>IF(M350="sans alignement","",IF(M350="tout alignement", """1_LB"", ""2_NB"", ""3_CB"", ""4_LN"", ""5_NN"", ""6_CN"", ""7_LM"", ""8_NM"", ""9_CM""",IF(M350="tout alignement non bon", """4_LN"", ""5_NN"", ""6_CN"", ""7_LM"", ""8_NM"", ""9_CM""",IF(M350="tout alignement mauvais", """7_LM"", ""8_NM"", ""9_CM""",IF(M350="tout alignement chaotique", """3_CB"", ""6_CN"", ""9_CM""",IF(M350="tout alignement non loyal", """2_NB"", ""3_CB"", ""5_NN"", ""6_CN"", ""8_NM"", ""9_CM""",""""&amp;VLOOKUP(M350,Alignements!$A$2:$B$10,2, FALSE)&amp;""""))))))</f>
        <v>"4_LN"</v>
      </c>
      <c r="O350" s="297"/>
      <c r="P350" t="str">
        <f t="shared" si="17"/>
        <v>"Githzerai, moine": {
  "Name" : "Githzerai, moine",
  "VO" : "Githzerai Monk",
  "Family" : "HUMANOID",
  "Species" : ["GITH"],
  "FP" : "2", 
  "Size" : "M",
  "AC" : 14,
  "HP" : 38, 
  "Speed" : "",
  "Alignments" : ["4_LN"],
  "Legendary" : ""}</v>
      </c>
    </row>
    <row r="351" spans="1:16">
      <c r="A351" s="61" t="s">
        <v>4769</v>
      </c>
      <c r="B351" s="298" t="s">
        <v>4770</v>
      </c>
      <c r="C351" s="306">
        <v>6</v>
      </c>
      <c r="D351" s="298" t="s">
        <v>4754</v>
      </c>
      <c r="E351" s="297" t="str">
        <f t="shared" si="15"/>
        <v>Humanoïde</v>
      </c>
      <c r="F351" s="297" t="str">
        <f>VLOOKUP(E351,'Types de monstres'!$A$2:$B$17,2,FALSE)</f>
        <v>HUMANOID</v>
      </c>
      <c r="G351" s="297" t="str">
        <f t="shared" si="16"/>
        <v>gith</v>
      </c>
      <c r="H351" s="297" t="str">
        <f>IF(OR(G351="",G351="toute race"),"",VLOOKUP(G351,'Types de monstres'!$F$2:$G$49,2,FALSE))</f>
        <v>GITH</v>
      </c>
      <c r="I351" s="298" t="s">
        <v>4091</v>
      </c>
      <c r="J351" s="300">
        <v>17</v>
      </c>
      <c r="K351" s="300">
        <v>84</v>
      </c>
      <c r="L351" s="298"/>
      <c r="M351" s="298" t="s">
        <v>4145</v>
      </c>
      <c r="N351" s="297" t="str">
        <f>IF(M351="sans alignement","",IF(M351="tout alignement", """1_LB"", ""2_NB"", ""3_CB"", ""4_LN"", ""5_NN"", ""6_CN"", ""7_LM"", ""8_NM"", ""9_CM""",IF(M351="tout alignement non bon", """4_LN"", ""5_NN"", ""6_CN"", ""7_LM"", ""8_NM"", ""9_CM""",IF(M351="tout alignement mauvais", """7_LM"", ""8_NM"", ""9_CM""",IF(M351="tout alignement chaotique", """3_CB"", ""6_CN"", ""9_CM""",IF(M351="tout alignement non loyal", """2_NB"", ""3_CB"", ""5_NN"", ""6_CN"", ""8_NM"", ""9_CM""",""""&amp;VLOOKUP(M351,Alignements!$A$2:$B$10,2, FALSE)&amp;""""))))))</f>
        <v>"4_LN"</v>
      </c>
      <c r="O351" s="298"/>
      <c r="P351" t="str">
        <f t="shared" si="17"/>
        <v>"Githzerai, zerth": {
  "Name" : "Githzerai, zerth",
  "VO" : "Githzerai Zerth",
  "Family" : "HUMANOID",
  "Species" : ["GITH"],
  "FP" : "6", 
  "Size" : "M",
  "AC" : 17,
  "HP" : 84, 
  "Speed" : "",
  "Alignments" : ["4_LN"],
  "Legendary" : ""}</v>
      </c>
    </row>
    <row r="352" spans="1:16">
      <c r="A352" s="61" t="s">
        <v>4771</v>
      </c>
      <c r="B352" s="297" t="s">
        <v>4771</v>
      </c>
      <c r="C352" s="305">
        <v>9</v>
      </c>
      <c r="D352" s="297" t="s">
        <v>4136</v>
      </c>
      <c r="E352" s="297" t="str">
        <f t="shared" si="15"/>
        <v>Fiélon</v>
      </c>
      <c r="F352" s="297" t="str">
        <f>VLOOKUP(E352,'Types de monstres'!$A$2:$B$17,2,FALSE)</f>
        <v>FIEND</v>
      </c>
      <c r="G352" s="297" t="str">
        <f t="shared" si="16"/>
        <v>démon</v>
      </c>
      <c r="H352" s="297" t="str">
        <f>IF(OR(G352="",G352="toute race"),"",VLOOKUP(G352,'Types de monstres'!$F$2:$G$49,2,FALSE))</f>
        <v>DAEMON</v>
      </c>
      <c r="I352" s="297" t="s">
        <v>4112</v>
      </c>
      <c r="J352" s="302">
        <v>17</v>
      </c>
      <c r="K352" s="302">
        <v>157</v>
      </c>
      <c r="L352" s="297"/>
      <c r="M352" s="297" t="s">
        <v>4137</v>
      </c>
      <c r="N352" s="297" t="str">
        <f>IF(M352="sans alignement","",IF(M352="tout alignement", """1_LB"", ""2_NB"", ""3_CB"", ""4_LN"", ""5_NN"", ""6_CN"", ""7_LM"", ""8_NM"", ""9_CM""",IF(M352="tout alignement non bon", """4_LN"", ""5_NN"", ""6_CN"", ""7_LM"", ""8_NM"", ""9_CM""",IF(M352="tout alignement mauvais", """7_LM"", ""8_NM"", ""9_CM""",IF(M352="tout alignement chaotique", """3_CB"", ""6_CN"", ""9_CM""",IF(M352="tout alignement non loyal", """2_NB"", ""3_CB"", ""5_NN"", ""6_CN"", ""8_NM"", ""9_CM""",""""&amp;VLOOKUP(M352,Alignements!$A$2:$B$10,2, FALSE)&amp;""""))))))</f>
        <v>"9_CM"</v>
      </c>
      <c r="O352" s="297"/>
      <c r="P352" t="str">
        <f t="shared" si="17"/>
        <v>"Glabrezu": {
  "Name" : "Glabrezu",
  "VO" : "Glabrezu",
  "Family" : "FIEND",
  "Species" : ["DAEMON"],
  "FP" : "9", 
  "Size" : "G",
  "AC" : 17,
  "HP" : 157, 
  "Speed" : "",
  "Alignments" : ["9_CM"],
  "Legendary" : ""}</v>
      </c>
    </row>
    <row r="353" spans="1:16">
      <c r="A353" s="61" t="s">
        <v>4772</v>
      </c>
      <c r="B353" s="298" t="s">
        <v>4773</v>
      </c>
      <c r="C353" s="306">
        <v>5</v>
      </c>
      <c r="D353" s="298" t="s">
        <v>4108</v>
      </c>
      <c r="E353" s="297" t="str">
        <f t="shared" si="15"/>
        <v>Humanoïde</v>
      </c>
      <c r="F353" s="297" t="str">
        <f>VLOOKUP(E353,'Types de monstres'!$A$2:$B$17,2,FALSE)</f>
        <v>HUMANOID</v>
      </c>
      <c r="G353" s="297" t="str">
        <f t="shared" si="16"/>
        <v>toute race</v>
      </c>
      <c r="H353" s="297" t="str">
        <f>IF(OR(G353="",G353="toute race"),"",VLOOKUP(G353,'Types de monstres'!$F$2:$G$49,2,FALSE))</f>
        <v/>
      </c>
      <c r="I353" s="298" t="s">
        <v>4091</v>
      </c>
      <c r="J353" s="300">
        <v>16</v>
      </c>
      <c r="K353" s="300">
        <v>112</v>
      </c>
      <c r="L353" s="298"/>
      <c r="M353" s="298" t="s">
        <v>4109</v>
      </c>
      <c r="N353" s="297" t="str">
        <f>IF(M353="sans alignement","",IF(M353="tout alignement", """1_LB"", ""2_NB"", ""3_CB"", ""4_LN"", ""5_NN"", ""6_CN"", ""7_LM"", ""8_NM"", ""9_CM""",IF(M353="tout alignement non bon", """4_LN"", ""5_NN"", ""6_CN"", ""7_LM"", ""8_NM"", ""9_CM""",IF(M353="tout alignement mauvais", """7_LM"", ""8_NM"", ""9_CM""",IF(M353="tout alignement chaotique", """3_CB"", ""6_CN"", ""9_CM""",IF(M353="tout alignement non loyal", """2_NB"", ""3_CB"", ""5_NN"", ""6_CN"", ""8_NM"", ""9_CM""",""""&amp;VLOOKUP(M353,Alignements!$A$2:$B$10,2, FALSE)&amp;""""))))))</f>
        <v>"1_LB", "2_NB", "3_CB", "4_LN", "5_NN", "6_CN", "7_LM", "8_NM", "9_CM"</v>
      </c>
      <c r="O353" s="298"/>
      <c r="P353" t="str">
        <f t="shared" si="17"/>
        <v>"Gladiateur": {
  "Name" : "Gladiateur",
  "VO" : "Gladiator",
  "Family" : "HUMANOID",
  "Species" : [""],
  "FP" : "5", 
  "Size" : "M",
  "AC" : 16,
  "HP" : 112, 
  "Speed" : "",
  "Alignments" : ["1_LB", "2_NB", "3_CB", "4_LN", "5_NN", "6_CN", "7_LM", "8_NM", "9_CM"],
  "Legendary" : ""}</v>
      </c>
    </row>
    <row r="354" spans="1:16">
      <c r="A354" s="61" t="s">
        <v>4774</v>
      </c>
      <c r="B354" s="297" t="s">
        <v>4774</v>
      </c>
      <c r="C354" s="305" t="s">
        <v>5620</v>
      </c>
      <c r="D354" s="297" t="s">
        <v>4686</v>
      </c>
      <c r="E354" s="297" t="str">
        <f t="shared" si="15"/>
        <v>Humanoïde</v>
      </c>
      <c r="F354" s="297" t="str">
        <f>VLOOKUP(E354,'Types de monstres'!$A$2:$B$17,2,FALSE)</f>
        <v>HUMANOID</v>
      </c>
      <c r="G354" s="297" t="str">
        <f t="shared" si="16"/>
        <v>gnoll</v>
      </c>
      <c r="H354" s="297" t="str">
        <f>IF(OR(G354="",G354="toute race"),"",VLOOKUP(G354,'Types de monstres'!$F$2:$G$49,2,FALSE))</f>
        <v>GNOLL</v>
      </c>
      <c r="I354" s="297" t="s">
        <v>4091</v>
      </c>
      <c r="J354" s="302">
        <v>15</v>
      </c>
      <c r="K354" s="302">
        <v>22</v>
      </c>
      <c r="L354" s="297"/>
      <c r="M354" s="297" t="s">
        <v>4137</v>
      </c>
      <c r="N354" s="297" t="str">
        <f>IF(M354="sans alignement","",IF(M354="tout alignement", """1_LB"", ""2_NB"", ""3_CB"", ""4_LN"", ""5_NN"", ""6_CN"", ""7_LM"", ""8_NM"", ""9_CM""",IF(M354="tout alignement non bon", """4_LN"", ""5_NN"", ""6_CN"", ""7_LM"", ""8_NM"", ""9_CM""",IF(M354="tout alignement mauvais", """7_LM"", ""8_NM"", ""9_CM""",IF(M354="tout alignement chaotique", """3_CB"", ""6_CN"", ""9_CM""",IF(M354="tout alignement non loyal", """2_NB"", ""3_CB"", ""5_NN"", ""6_CN"", ""8_NM"", ""9_CM""",""""&amp;VLOOKUP(M354,Alignements!$A$2:$B$10,2, FALSE)&amp;""""))))))</f>
        <v>"9_CM"</v>
      </c>
      <c r="O354" s="297"/>
      <c r="P354" t="str">
        <f t="shared" si="17"/>
        <v>"Gnoll": {
  "Name" : "Gnoll",
  "VO" : "Gnoll",
  "Family" : "HUMANOID",
  "Species" : ["GNOLL"],
  "FP" : "1/2", 
  "Size" : "M",
  "AC" : 15,
  "HP" : 22, 
  "Speed" : "",
  "Alignments" : ["9_CM"],
  "Legendary" : ""}</v>
      </c>
    </row>
    <row r="355" spans="1:16">
      <c r="A355" s="61" t="s">
        <v>4775</v>
      </c>
      <c r="B355" s="298" t="s">
        <v>4776</v>
      </c>
      <c r="C355" s="306" t="s">
        <v>5620</v>
      </c>
      <c r="D355" s="298" t="s">
        <v>4686</v>
      </c>
      <c r="E355" s="297" t="str">
        <f t="shared" si="15"/>
        <v>Humanoïde</v>
      </c>
      <c r="F355" s="297" t="str">
        <f>VLOOKUP(E355,'Types de monstres'!$A$2:$B$17,2,FALSE)</f>
        <v>HUMANOID</v>
      </c>
      <c r="G355" s="297" t="str">
        <f t="shared" si="16"/>
        <v>gnoll</v>
      </c>
      <c r="H355" s="297" t="str">
        <f>IF(OR(G355="",G355="toute race"),"",VLOOKUP(G355,'Types de monstres'!$F$2:$G$49,2,FALSE))</f>
        <v>GNOLL</v>
      </c>
      <c r="I355" s="298" t="s">
        <v>4091</v>
      </c>
      <c r="J355" s="300">
        <v>13</v>
      </c>
      <c r="K355" s="300">
        <v>22</v>
      </c>
      <c r="L355" s="298"/>
      <c r="M355" s="298" t="s">
        <v>4137</v>
      </c>
      <c r="N355" s="297" t="str">
        <f>IF(M355="sans alignement","",IF(M355="tout alignement", """1_LB"", ""2_NB"", ""3_CB"", ""4_LN"", ""5_NN"", ""6_CN"", ""7_LM"", ""8_NM"", ""9_CM""",IF(M355="tout alignement non bon", """4_LN"", ""5_NN"", ""6_CN"", ""7_LM"", ""8_NM"", ""9_CM""",IF(M355="tout alignement mauvais", """7_LM"", ""8_NM"", ""9_CM""",IF(M355="tout alignement chaotique", """3_CB"", ""6_CN"", ""9_CM""",IF(M355="tout alignement non loyal", """2_NB"", ""3_CB"", ""5_NN"", ""6_CN"", ""8_NM"", ""9_CM""",""""&amp;VLOOKUP(M355,Alignements!$A$2:$B$10,2, FALSE)&amp;""""))))))</f>
        <v>"9_CM"</v>
      </c>
      <c r="O355" s="298"/>
      <c r="P355" t="str">
        <f t="shared" si="17"/>
        <v>"Gnoll, chasseur": {
  "Name" : "Gnoll, chasseur",
  "VO" : "Gnoll Hunter",
  "Family" : "HUMANOID",
  "Species" : ["GNOLL"],
  "FP" : "1/2", 
  "Size" : "M",
  "AC" : 13,
  "HP" : 22, 
  "Speed" : "",
  "Alignments" : ["9_CM"],
  "Legendary" : ""}</v>
      </c>
    </row>
    <row r="356" spans="1:16" ht="21">
      <c r="A356" s="61" t="s">
        <v>4777</v>
      </c>
      <c r="B356" s="297" t="s">
        <v>4778</v>
      </c>
      <c r="C356" s="305">
        <v>4</v>
      </c>
      <c r="D356" s="297" t="s">
        <v>4779</v>
      </c>
      <c r="E356" s="297" t="str">
        <f t="shared" si="15"/>
        <v>Fiélon</v>
      </c>
      <c r="F356" s="297" t="str">
        <f>VLOOKUP(E356,'Types de monstres'!$A$2:$B$17,2,FALSE)</f>
        <v>FIEND</v>
      </c>
      <c r="G356" s="297" t="str">
        <f t="shared" si="16"/>
        <v>gnoll</v>
      </c>
      <c r="H356" s="297" t="str">
        <f>IF(OR(G356="",G356="toute race"),"",VLOOKUP(G356,'Types de monstres'!$F$2:$G$49,2,FALSE))</f>
        <v>GNOLL</v>
      </c>
      <c r="I356" s="297" t="s">
        <v>4091</v>
      </c>
      <c r="J356" s="302">
        <v>14</v>
      </c>
      <c r="K356" s="302">
        <v>65</v>
      </c>
      <c r="L356" s="297"/>
      <c r="M356" s="297" t="s">
        <v>4137</v>
      </c>
      <c r="N356" s="297" t="str">
        <f>IF(M356="sans alignement","",IF(M356="tout alignement", """1_LB"", ""2_NB"", ""3_CB"", ""4_LN"", ""5_NN"", ""6_CN"", ""7_LM"", ""8_NM"", ""9_CM""",IF(M356="tout alignement non bon", """4_LN"", ""5_NN"", ""6_CN"", ""7_LM"", ""8_NM"", ""9_CM""",IF(M356="tout alignement mauvais", """7_LM"", ""8_NM"", ""9_CM""",IF(M356="tout alignement chaotique", """3_CB"", ""6_CN"", ""9_CM""",IF(M356="tout alignement non loyal", """2_NB"", ""3_CB"", ""5_NN"", ""6_CN"", ""8_NM"", ""9_CM""",""""&amp;VLOOKUP(M356,Alignements!$A$2:$B$10,2, FALSE)&amp;""""))))))</f>
        <v>"9_CM"</v>
      </c>
      <c r="O356" s="297"/>
      <c r="P356" t="str">
        <f t="shared" si="17"/>
        <v>"Gnoll, croc de Yeenoghu": {
  "Name" : "Gnoll, croc de Yeenoghu",
  "VO" : "Gnoll Fang of Yeenoghu",
  "Family" : "FIEND",
  "Species" : ["GNOLL"],
  "FP" : "4", 
  "Size" : "M",
  "AC" : 14,
  "HP" : 65, 
  "Speed" : "",
  "Alignments" : ["9_CM"],
  "Legendary" : ""}</v>
      </c>
    </row>
    <row r="357" spans="1:16">
      <c r="A357" s="299" t="s">
        <v>4780</v>
      </c>
      <c r="B357" s="298" t="s">
        <v>4781</v>
      </c>
      <c r="C357" s="306" t="s">
        <v>5618</v>
      </c>
      <c r="D357" s="298" t="s">
        <v>4117</v>
      </c>
      <c r="E357" s="297" t="str">
        <f t="shared" si="15"/>
        <v>Mort-vivant</v>
      </c>
      <c r="F357" s="297" t="str">
        <f>VLOOKUP(E357,'Types de monstres'!$A$2:$B$17,2,FALSE)</f>
        <v>UNDEAD</v>
      </c>
      <c r="G357" s="297" t="str">
        <f t="shared" si="16"/>
        <v/>
      </c>
      <c r="H357" s="297" t="str">
        <f>IF(OR(G357="",G357="toute race"),"",VLOOKUP(G357,'Types de monstres'!$F$2:$G$49,2,FALSE))</f>
        <v/>
      </c>
      <c r="I357" s="298" t="s">
        <v>4091</v>
      </c>
      <c r="J357" s="300">
        <v>12</v>
      </c>
      <c r="K357" s="300">
        <v>11</v>
      </c>
      <c r="L357" s="298"/>
      <c r="M357" s="298" t="s">
        <v>4137</v>
      </c>
      <c r="N357" s="297" t="str">
        <f>IF(M357="sans alignement","",IF(M357="tout alignement", """1_LB"", ""2_NB"", ""3_CB"", ""4_LN"", ""5_NN"", ""6_CN"", ""7_LM"", ""8_NM"", ""9_CM""",IF(M357="tout alignement non bon", """4_LN"", ""5_NN"", ""6_CN"", ""7_LM"", ""8_NM"", ""9_CM""",IF(M357="tout alignement mauvais", """7_LM"", ""8_NM"", ""9_CM""",IF(M357="tout alignement chaotique", """3_CB"", ""6_CN"", ""9_CM""",IF(M357="tout alignement non loyal", """2_NB"", ""3_CB"", ""5_NN"", ""6_CN"", ""8_NM"", ""9_CM""",""""&amp;VLOOKUP(M357,Alignements!$A$2:$B$10,2, FALSE)&amp;""""))))))</f>
        <v>"9_CM"</v>
      </c>
      <c r="O357" s="298"/>
      <c r="P357" t="str">
        <f t="shared" si="17"/>
        <v>"Gnoll, décrépit": {
  "Name" : "Gnoll, décrépit",
  "VO" : "Gnoll Witherling",
  "Family" : "UNDEAD",
  "Species" : [""],
  "FP" : "1/4", 
  "Size" : "M",
  "AC" : 12,
  "HP" : 11, 
  "Speed" : "",
  "Alignments" : ["9_CM"],
  "Legendary" : ""}</v>
      </c>
    </row>
    <row r="358" spans="1:16" ht="21">
      <c r="A358" s="301" t="s">
        <v>4782</v>
      </c>
      <c r="B358" s="297" t="s">
        <v>4783</v>
      </c>
      <c r="C358" s="305">
        <v>1</v>
      </c>
      <c r="D358" s="297" t="s">
        <v>4686</v>
      </c>
      <c r="E358" s="297" t="str">
        <f t="shared" si="15"/>
        <v>Humanoïde</v>
      </c>
      <c r="F358" s="297" t="str">
        <f>VLOOKUP(E358,'Types de monstres'!$A$2:$B$17,2,FALSE)</f>
        <v>HUMANOID</v>
      </c>
      <c r="G358" s="297" t="str">
        <f t="shared" si="16"/>
        <v>gnoll</v>
      </c>
      <c r="H358" s="297" t="str">
        <f>IF(OR(G358="",G358="toute race"),"",VLOOKUP(G358,'Types de monstres'!$F$2:$G$49,2,FALSE))</f>
        <v>GNOLL</v>
      </c>
      <c r="I358" s="297" t="s">
        <v>4091</v>
      </c>
      <c r="J358" s="302">
        <v>14</v>
      </c>
      <c r="K358" s="302">
        <v>22</v>
      </c>
      <c r="L358" s="297"/>
      <c r="M358" s="297" t="s">
        <v>4137</v>
      </c>
      <c r="N358" s="297" t="str">
        <f>IF(M358="sans alignement","",IF(M358="tout alignement", """1_LB"", ""2_NB"", ""3_CB"", ""4_LN"", ""5_NN"", ""6_CN"", ""7_LM"", ""8_NM"", ""9_CM""",IF(M358="tout alignement non bon", """4_LN"", ""5_NN"", ""6_CN"", ""7_LM"", ""8_NM"", ""9_CM""",IF(M358="tout alignement mauvais", """7_LM"", ""8_NM"", ""9_CM""",IF(M358="tout alignement chaotique", """3_CB"", ""6_CN"", ""9_CM""",IF(M358="tout alignement non loyal", """2_NB"", ""3_CB"", ""5_NN"", ""6_CN"", ""8_NM"", ""9_CM""",""""&amp;VLOOKUP(M358,Alignements!$A$2:$B$10,2, FALSE)&amp;""""))))))</f>
        <v>"9_CM"</v>
      </c>
      <c r="O358" s="297"/>
      <c r="P358" t="str">
        <f t="shared" si="17"/>
        <v>"Gnoll, rongeur de chair": {
  "Name" : "Gnoll, rongeur de chair",
  "VO" : "Gnoll Flesh Gnawer",
  "Family" : "HUMANOID",
  "Species" : ["GNOLL"],
  "FP" : "1", 
  "Size" : "M",
  "AC" : 14,
  "HP" : 22, 
  "Speed" : "",
  "Alignments" : ["9_CM"],
  "Legendary" : ""}</v>
      </c>
    </row>
    <row r="359" spans="1:16">
      <c r="A359" s="61" t="s">
        <v>4784</v>
      </c>
      <c r="B359" s="298" t="s">
        <v>4785</v>
      </c>
      <c r="C359" s="306">
        <v>2</v>
      </c>
      <c r="D359" s="298" t="s">
        <v>4686</v>
      </c>
      <c r="E359" s="297" t="str">
        <f t="shared" si="15"/>
        <v>Humanoïde</v>
      </c>
      <c r="F359" s="297" t="str">
        <f>VLOOKUP(E359,'Types de monstres'!$A$2:$B$17,2,FALSE)</f>
        <v>HUMANOID</v>
      </c>
      <c r="G359" s="297" t="str">
        <f t="shared" si="16"/>
        <v>gnoll</v>
      </c>
      <c r="H359" s="297" t="str">
        <f>IF(OR(G359="",G359="toute race"),"",VLOOKUP(G359,'Types de monstres'!$F$2:$G$49,2,FALSE))</f>
        <v>GNOLL</v>
      </c>
      <c r="I359" s="298" t="s">
        <v>4091</v>
      </c>
      <c r="J359" s="300">
        <v>15</v>
      </c>
      <c r="K359" s="300">
        <v>49</v>
      </c>
      <c r="L359" s="298"/>
      <c r="M359" s="298" t="s">
        <v>4137</v>
      </c>
      <c r="N359" s="297" t="str">
        <f>IF(M359="sans alignement","",IF(M359="tout alignement", """1_LB"", ""2_NB"", ""3_CB"", ""4_LN"", ""5_NN"", ""6_CN"", ""7_LM"", ""8_NM"", ""9_CM""",IF(M359="tout alignement non bon", """4_LN"", ""5_NN"", ""6_CN"", ""7_LM"", ""8_NM"", ""9_CM""",IF(M359="tout alignement mauvais", """7_LM"", ""8_NM"", ""9_CM""",IF(M359="tout alignement chaotique", """3_CB"", ""6_CN"", ""9_CM""",IF(M359="tout alignement non loyal", """2_NB"", ""3_CB"", ""5_NN"", ""6_CN"", ""8_NM"", ""9_CM""",""""&amp;VLOOKUP(M359,Alignements!$A$2:$B$10,2, FALSE)&amp;""""))))))</f>
        <v>"9_CM"</v>
      </c>
      <c r="O359" s="298"/>
      <c r="P359" t="str">
        <f t="shared" si="17"/>
        <v>"Gnoll, seigneur de meute": {
  "Name" : "Gnoll, seigneur de meute",
  "VO" : "Gnoll Pack Lord",
  "Family" : "HUMANOID",
  "Species" : ["GNOLL"],
  "FP" : "2", 
  "Size" : "M",
  "AC" : 15,
  "HP" : 49, 
  "Speed" : "",
  "Alignments" : ["9_CM"],
  "Legendary" : ""}</v>
      </c>
    </row>
    <row r="360" spans="1:16" ht="21">
      <c r="A360" s="61" t="s">
        <v>4786</v>
      </c>
      <c r="B360" s="297" t="s">
        <v>4787</v>
      </c>
      <c r="C360" s="305" t="s">
        <v>5620</v>
      </c>
      <c r="D360" s="297" t="s">
        <v>4788</v>
      </c>
      <c r="E360" s="297" t="str">
        <f t="shared" si="15"/>
        <v>Humanoïde</v>
      </c>
      <c r="F360" s="297" t="str">
        <f>VLOOKUP(E360,'Types de monstres'!$A$2:$B$17,2,FALSE)</f>
        <v>HUMANOID</v>
      </c>
      <c r="G360" s="297" t="str">
        <f t="shared" si="16"/>
        <v>gnome</v>
      </c>
      <c r="H360" s="297" t="str">
        <f>IF(OR(G360="",G360="toute race"),"",VLOOKUP(G360,'Types de monstres'!$F$2:$G$49,2,FALSE))</f>
        <v>GNOME</v>
      </c>
      <c r="I360" s="297" t="s">
        <v>4129</v>
      </c>
      <c r="J360" s="302">
        <v>15</v>
      </c>
      <c r="K360" s="302">
        <v>16</v>
      </c>
      <c r="L360" s="297"/>
      <c r="M360" s="297" t="s">
        <v>4093</v>
      </c>
      <c r="N360" s="297" t="str">
        <f>IF(M360="sans alignement","",IF(M360="tout alignement", """1_LB"", ""2_NB"", ""3_CB"", ""4_LN"", ""5_NN"", ""6_CN"", ""7_LM"", ""8_NM"", ""9_CM""",IF(M360="tout alignement non bon", """4_LN"", ""5_NN"", ""6_CN"", ""7_LM"", ""8_NM"", ""9_CM""",IF(M360="tout alignement mauvais", """7_LM"", ""8_NM"", ""9_CM""",IF(M360="tout alignement chaotique", """3_CB"", ""6_CN"", ""9_CM""",IF(M360="tout alignement non loyal", """2_NB"", ""3_CB"", ""5_NN"", ""6_CN"", ""8_NM"", ""9_CM""",""""&amp;VLOOKUP(M360,Alignements!$A$2:$B$10,2, FALSE)&amp;""""))))))</f>
        <v>"2_NB"</v>
      </c>
      <c r="O360" s="297"/>
      <c r="P360" t="str">
        <f t="shared" si="17"/>
        <v>"Gnome des profondeurs (svirfnebelin)": {
  "Name" : "Gnome des profondeurs (svirfnebelin)",
  "VO" : "Deep Gnome (Svirfneblin)",
  "Family" : "HUMANOID",
  "Species" : ["GNOME"],
  "FP" : "1/2", 
  "Size" : "P",
  "AC" : 15,
  "HP" : 16, 
  "Speed" : "",
  "Alignments" : ["2_NB"],
  "Legendary" : ""}</v>
      </c>
    </row>
    <row r="361" spans="1:16">
      <c r="A361" s="61" t="s">
        <v>2587</v>
      </c>
      <c r="B361" s="298" t="s">
        <v>4789</v>
      </c>
      <c r="C361" s="306" t="s">
        <v>5618</v>
      </c>
      <c r="D361" s="298" t="s">
        <v>4790</v>
      </c>
      <c r="E361" s="297" t="str">
        <f t="shared" si="15"/>
        <v>Humanoïde</v>
      </c>
      <c r="F361" s="297" t="str">
        <f>VLOOKUP(E361,'Types de monstres'!$A$2:$B$17,2,FALSE)</f>
        <v>HUMANOID</v>
      </c>
      <c r="G361" s="297" t="str">
        <f t="shared" si="16"/>
        <v>gobelinoïde</v>
      </c>
      <c r="H361" s="297" t="str">
        <f>IF(OR(G361="",G361="toute race"),"",VLOOKUP(G361,'Types de monstres'!$F$2:$G$49,2,FALSE))</f>
        <v>GOBELINOID</v>
      </c>
      <c r="I361" s="298" t="s">
        <v>4129</v>
      </c>
      <c r="J361" s="300">
        <v>15</v>
      </c>
      <c r="K361" s="300">
        <v>7</v>
      </c>
      <c r="L361" s="298"/>
      <c r="M361" s="298" t="s">
        <v>4118</v>
      </c>
      <c r="N361" s="297" t="str">
        <f>IF(M361="sans alignement","",IF(M361="tout alignement", """1_LB"", ""2_NB"", ""3_CB"", ""4_LN"", ""5_NN"", ""6_CN"", ""7_LM"", ""8_NM"", ""9_CM""",IF(M361="tout alignement non bon", """4_LN"", ""5_NN"", ""6_CN"", ""7_LM"", ""8_NM"", ""9_CM""",IF(M361="tout alignement mauvais", """7_LM"", ""8_NM"", ""9_CM""",IF(M361="tout alignement chaotique", """3_CB"", ""6_CN"", ""9_CM""",IF(M361="tout alignement non loyal", """2_NB"", ""3_CB"", ""5_NN"", ""6_CN"", ""8_NM"", ""9_CM""",""""&amp;VLOOKUP(M361,Alignements!$A$2:$B$10,2, FALSE)&amp;""""))))))</f>
        <v>"8_NM"</v>
      </c>
      <c r="O361" s="298"/>
      <c r="P361" t="str">
        <f t="shared" si="17"/>
        <v>"Gobelin": {
  "Name" : "Gobelin",
  "VO" : "Goblin",
  "Family" : "HUMANOID",
  "Species" : ["GOBELINOID"],
  "FP" : "1/4", 
  "Size" : "P",
  "AC" : 15,
  "HP" : 7, 
  "Speed" : "",
  "Alignments" : ["8_NM"],
  "Legendary" : ""}</v>
      </c>
    </row>
    <row r="362" spans="1:16">
      <c r="A362" s="61" t="s">
        <v>4791</v>
      </c>
      <c r="B362" s="297" t="s">
        <v>4792</v>
      </c>
      <c r="C362" s="305">
        <v>1</v>
      </c>
      <c r="D362" s="297" t="s">
        <v>4790</v>
      </c>
      <c r="E362" s="297" t="str">
        <f t="shared" si="15"/>
        <v>Humanoïde</v>
      </c>
      <c r="F362" s="297" t="str">
        <f>VLOOKUP(E362,'Types de monstres'!$A$2:$B$17,2,FALSE)</f>
        <v>HUMANOID</v>
      </c>
      <c r="G362" s="297" t="str">
        <f t="shared" si="16"/>
        <v>gobelinoïde</v>
      </c>
      <c r="H362" s="297" t="str">
        <f>IF(OR(G362="",G362="toute race"),"",VLOOKUP(G362,'Types de monstres'!$F$2:$G$49,2,FALSE))</f>
        <v>GOBELINOID</v>
      </c>
      <c r="I362" s="297" t="s">
        <v>4129</v>
      </c>
      <c r="J362" s="302">
        <v>17</v>
      </c>
      <c r="K362" s="302">
        <v>21</v>
      </c>
      <c r="L362" s="297"/>
      <c r="M362" s="297" t="s">
        <v>4118</v>
      </c>
      <c r="N362" s="297" t="str">
        <f>IF(M362="sans alignement","",IF(M362="tout alignement", """1_LB"", ""2_NB"", ""3_CB"", ""4_LN"", ""5_NN"", ""6_CN"", ""7_LM"", ""8_NM"", ""9_CM""",IF(M362="tout alignement non bon", """4_LN"", ""5_NN"", ""6_CN"", ""7_LM"", ""8_NM"", ""9_CM""",IF(M362="tout alignement mauvais", """7_LM"", ""8_NM"", ""9_CM""",IF(M362="tout alignement chaotique", """3_CB"", ""6_CN"", ""9_CM""",IF(M362="tout alignement non loyal", """2_NB"", ""3_CB"", ""5_NN"", ""6_CN"", ""8_NM"", ""9_CM""",""""&amp;VLOOKUP(M362,Alignements!$A$2:$B$10,2, FALSE)&amp;""""))))))</f>
        <v>"8_NM"</v>
      </c>
      <c r="O362" s="297"/>
      <c r="P362" t="str">
        <f t="shared" si="17"/>
        <v>"Gobelin, chef": {
  "Name" : "Gobelin, chef",
  "VO" : "Goblin Boss",
  "Family" : "HUMANOID",
  "Species" : ["GOBELINOID"],
  "FP" : "1", 
  "Size" : "P",
  "AC" : 17,
  "HP" : 21, 
  "Speed" : "",
  "Alignments" : ["8_NM"],
  "Legendary" : ""}</v>
      </c>
    </row>
    <row r="363" spans="1:16">
      <c r="A363" s="61" t="s">
        <v>4793</v>
      </c>
      <c r="B363" s="298" t="s">
        <v>4794</v>
      </c>
      <c r="C363" s="306">
        <v>1</v>
      </c>
      <c r="D363" s="298" t="s">
        <v>4790</v>
      </c>
      <c r="E363" s="297" t="str">
        <f t="shared" si="15"/>
        <v>Humanoïde</v>
      </c>
      <c r="F363" s="297" t="str">
        <f>VLOOKUP(E363,'Types de monstres'!$A$2:$B$17,2,FALSE)</f>
        <v>HUMANOID</v>
      </c>
      <c r="G363" s="297" t="str">
        <f t="shared" si="16"/>
        <v>gobelinoïde</v>
      </c>
      <c r="H363" s="297" t="str">
        <f>IF(OR(G363="",G363="toute race"),"",VLOOKUP(G363,'Types de monstres'!$F$2:$G$49,2,FALSE))</f>
        <v>GOBELINOID</v>
      </c>
      <c r="I363" s="298" t="s">
        <v>4091</v>
      </c>
      <c r="J363" s="300">
        <v>16</v>
      </c>
      <c r="K363" s="300">
        <v>27</v>
      </c>
      <c r="L363" s="298"/>
      <c r="M363" s="298" t="s">
        <v>4137</v>
      </c>
      <c r="N363" s="297" t="str">
        <f>IF(M363="sans alignement","",IF(M363="tout alignement", """1_LB"", ""2_NB"", ""3_CB"", ""4_LN"", ""5_NN"", ""6_CN"", ""7_LM"", ""8_NM"", ""9_CM""",IF(M363="tout alignement non bon", """4_LN"", ""5_NN"", ""6_CN"", ""7_LM"", ""8_NM"", ""9_CM""",IF(M363="tout alignement mauvais", """7_LM"", ""8_NM"", ""9_CM""",IF(M363="tout alignement chaotique", """3_CB"", ""6_CN"", ""9_CM""",IF(M363="tout alignement non loyal", """2_NB"", ""3_CB"", ""5_NN"", ""6_CN"", ""8_NM"", ""9_CM""",""""&amp;VLOOKUP(M363,Alignements!$A$2:$B$10,2, FALSE)&amp;""""))))))</f>
        <v>"9_CM"</v>
      </c>
      <c r="O363" s="298"/>
      <c r="P363" t="str">
        <f t="shared" si="17"/>
        <v>"Gobelours": {
  "Name" : "Gobelours",
  "VO" : "Bugbear",
  "Family" : "HUMANOID",
  "Species" : ["GOBELINOID"],
  "FP" : "1", 
  "Size" : "M",
  "AC" : 16,
  "HP" : 27, 
  "Speed" : "",
  "Alignments" : ["9_CM"],
  "Legendary" : ""}</v>
      </c>
    </row>
    <row r="364" spans="1:16">
      <c r="A364" s="61" t="s">
        <v>4795</v>
      </c>
      <c r="B364" s="297" t="s">
        <v>4796</v>
      </c>
      <c r="C364" s="305">
        <v>3</v>
      </c>
      <c r="D364" s="297" t="s">
        <v>4790</v>
      </c>
      <c r="E364" s="297" t="str">
        <f t="shared" si="15"/>
        <v>Humanoïde</v>
      </c>
      <c r="F364" s="297" t="str">
        <f>VLOOKUP(E364,'Types de monstres'!$A$2:$B$17,2,FALSE)</f>
        <v>HUMANOID</v>
      </c>
      <c r="G364" s="297" t="str">
        <f t="shared" si="16"/>
        <v>gobelinoïde</v>
      </c>
      <c r="H364" s="297" t="str">
        <f>IF(OR(G364="",G364="toute race"),"",VLOOKUP(G364,'Types de monstres'!$F$2:$G$49,2,FALSE))</f>
        <v>GOBELINOID</v>
      </c>
      <c r="I364" s="297" t="s">
        <v>4091</v>
      </c>
      <c r="J364" s="302">
        <v>17</v>
      </c>
      <c r="K364" s="302">
        <v>65</v>
      </c>
      <c r="L364" s="297"/>
      <c r="M364" s="297" t="s">
        <v>4137</v>
      </c>
      <c r="N364" s="297" t="str">
        <f>IF(M364="sans alignement","",IF(M364="tout alignement", """1_LB"", ""2_NB"", ""3_CB"", ""4_LN"", ""5_NN"", ""6_CN"", ""7_LM"", ""8_NM"", ""9_CM""",IF(M364="tout alignement non bon", """4_LN"", ""5_NN"", ""6_CN"", ""7_LM"", ""8_NM"", ""9_CM""",IF(M364="tout alignement mauvais", """7_LM"", ""8_NM"", ""9_CM""",IF(M364="tout alignement chaotique", """3_CB"", ""6_CN"", ""9_CM""",IF(M364="tout alignement non loyal", """2_NB"", ""3_CB"", ""5_NN"", ""6_CN"", ""8_NM"", ""9_CM""",""""&amp;VLOOKUP(M364,Alignements!$A$2:$B$10,2, FALSE)&amp;""""))))))</f>
        <v>"9_CM"</v>
      </c>
      <c r="O364" s="297"/>
      <c r="P364" t="str">
        <f t="shared" si="17"/>
        <v>"Gobelours, chef": {
  "Name" : "Gobelours, chef",
  "VO" : "Bugbear Chief",
  "Family" : "HUMANOID",
  "Species" : ["GOBELINOID"],
  "FP" : "3", 
  "Size" : "M",
  "AC" : 17,
  "HP" : 65, 
  "Speed" : "",
  "Alignments" : ["9_CM"],
  "Legendary" : ""}</v>
      </c>
    </row>
    <row r="365" spans="1:16">
      <c r="A365" s="61" t="s">
        <v>4797</v>
      </c>
      <c r="B365" s="298" t="s">
        <v>4798</v>
      </c>
      <c r="C365" s="306">
        <v>9</v>
      </c>
      <c r="D365" s="298" t="s">
        <v>4181</v>
      </c>
      <c r="E365" s="297" t="str">
        <f t="shared" si="15"/>
        <v>Créature artificielle</v>
      </c>
      <c r="F365" s="297" t="str">
        <f>VLOOKUP(E365,'Types de monstres'!$A$2:$B$17,2,FALSE)</f>
        <v>ARTIFICIAL_CREATURE</v>
      </c>
      <c r="G365" s="297" t="str">
        <f t="shared" si="16"/>
        <v/>
      </c>
      <c r="H365" s="297" t="str">
        <f>IF(OR(G365="",G365="toute race"),"",VLOOKUP(G365,'Types de monstres'!$F$2:$G$49,2,FALSE))</f>
        <v/>
      </c>
      <c r="I365" s="298" t="s">
        <v>4112</v>
      </c>
      <c r="J365" s="300">
        <v>14</v>
      </c>
      <c r="K365" s="300">
        <v>133</v>
      </c>
      <c r="L365" s="298"/>
      <c r="M365" s="298" t="s">
        <v>4130</v>
      </c>
      <c r="N365" s="297" t="str">
        <f>IF(M365="sans alignement","",IF(M365="tout alignement", """1_LB"", ""2_NB"", ""3_CB"", ""4_LN"", ""5_NN"", ""6_CN"", ""7_LM"", ""8_NM"", ""9_CM""",IF(M365="tout alignement non bon", """4_LN"", ""5_NN"", ""6_CN"", ""7_LM"", ""8_NM"", ""9_CM""",IF(M365="tout alignement mauvais", """7_LM"", ""8_NM"", ""9_CM""",IF(M365="tout alignement chaotique", """3_CB"", ""6_CN"", ""9_CM""",IF(M365="tout alignement non loyal", """2_NB"", ""3_CB"", ""5_NN"", ""6_CN"", ""8_NM"", ""9_CM""",""""&amp;VLOOKUP(M365,Alignements!$A$2:$B$10,2, FALSE)&amp;""""))))))</f>
        <v/>
      </c>
      <c r="O365" s="298"/>
      <c r="P365" t="str">
        <f t="shared" si="17"/>
        <v>"Golem d'argile": {
  "Name" : "Golem d'argile",
  "VO" : "Clay Golem",
  "Family" : "ARTIFICIAL_CREATURE",
  "Species" : [""],
  "FP" : "9", 
  "Size" : "G",
  "AC" : 14,
  "HP" : 133, 
  "Speed" : "",
  "Alignments" : [],
  "Legendary" : ""}</v>
      </c>
    </row>
    <row r="366" spans="1:16">
      <c r="A366" s="61" t="s">
        <v>4799</v>
      </c>
      <c r="B366" s="297" t="s">
        <v>4800</v>
      </c>
      <c r="C366" s="305">
        <v>2</v>
      </c>
      <c r="D366" s="297" t="s">
        <v>4181</v>
      </c>
      <c r="E366" s="297" t="str">
        <f t="shared" si="15"/>
        <v>Créature artificielle</v>
      </c>
      <c r="F366" s="297" t="str">
        <f>VLOOKUP(E366,'Types de monstres'!$A$2:$B$17,2,FALSE)</f>
        <v>ARTIFICIAL_CREATURE</v>
      </c>
      <c r="G366" s="297" t="str">
        <f t="shared" si="16"/>
        <v/>
      </c>
      <c r="H366" s="297" t="str">
        <f>IF(OR(G366="",G366="toute race"),"",VLOOKUP(G366,'Types de monstres'!$F$2:$G$49,2,FALSE))</f>
        <v/>
      </c>
      <c r="I366" s="297" t="s">
        <v>4091</v>
      </c>
      <c r="J366" s="302">
        <v>14</v>
      </c>
      <c r="K366" s="302">
        <v>61</v>
      </c>
      <c r="L366" s="297"/>
      <c r="M366" s="297" t="s">
        <v>4130</v>
      </c>
      <c r="N366" s="297" t="str">
        <f>IF(M366="sans alignement","",IF(M366="tout alignement", """1_LB"", ""2_NB"", ""3_CB"", ""4_LN"", ""5_NN"", ""6_CN"", ""7_LM"", ""8_NM"", ""9_CM""",IF(M366="tout alignement non bon", """4_LN"", ""5_NN"", ""6_CN"", ""7_LM"", ""8_NM"", ""9_CM""",IF(M366="tout alignement mauvais", """7_LM"", ""8_NM"", ""9_CM""",IF(M366="tout alignement chaotique", """3_CB"", ""6_CN"", ""9_CM""",IF(M366="tout alignement non loyal", """2_NB"", ""3_CB"", ""5_NN"", ""6_CN"", ""8_NM"", ""9_CM""",""""&amp;VLOOKUP(M366,Alignements!$A$2:$B$10,2, FALSE)&amp;""""))))))</f>
        <v/>
      </c>
      <c r="O366" s="297"/>
      <c r="P366" t="str">
        <f t="shared" si="17"/>
        <v>"Golem de bois": {
  "Name" : "Golem de bois",
  "VO" : "Wood Golem",
  "Family" : "ARTIFICIAL_CREATURE",
  "Species" : [""],
  "FP" : "2", 
  "Size" : "M",
  "AC" : 14,
  "HP" : 61, 
  "Speed" : "",
  "Alignments" : [],
  "Legendary" : ""}</v>
      </c>
    </row>
    <row r="367" spans="1:16">
      <c r="A367" s="61" t="s">
        <v>4801</v>
      </c>
      <c r="B367" s="298" t="s">
        <v>4802</v>
      </c>
      <c r="C367" s="306">
        <v>13</v>
      </c>
      <c r="D367" s="298" t="s">
        <v>4181</v>
      </c>
      <c r="E367" s="297" t="str">
        <f t="shared" si="15"/>
        <v>Créature artificielle</v>
      </c>
      <c r="F367" s="297" t="str">
        <f>VLOOKUP(E367,'Types de monstres'!$A$2:$B$17,2,FALSE)</f>
        <v>ARTIFICIAL_CREATURE</v>
      </c>
      <c r="G367" s="297" t="str">
        <f t="shared" si="16"/>
        <v/>
      </c>
      <c r="H367" s="297" t="str">
        <f>IF(OR(G367="",G367="toute race"),"",VLOOKUP(G367,'Types de monstres'!$F$2:$G$49,2,FALSE))</f>
        <v/>
      </c>
      <c r="I367" s="298" t="s">
        <v>4112</v>
      </c>
      <c r="J367" s="300">
        <v>19</v>
      </c>
      <c r="K367" s="300">
        <v>147</v>
      </c>
      <c r="L367" s="298"/>
      <c r="M367" s="298" t="s">
        <v>4130</v>
      </c>
      <c r="N367" s="297" t="str">
        <f>IF(M367="sans alignement","",IF(M367="tout alignement", """1_LB"", ""2_NB"", ""3_CB"", ""4_LN"", ""5_NN"", ""6_CN"", ""7_LM"", ""8_NM"", ""9_CM""",IF(M367="tout alignement non bon", """4_LN"", ""5_NN"", ""6_CN"", ""7_LM"", ""8_NM"", ""9_CM""",IF(M367="tout alignement mauvais", """7_LM"", ""8_NM"", ""9_CM""",IF(M367="tout alignement chaotique", """3_CB"", ""6_CN"", ""9_CM""",IF(M367="tout alignement non loyal", """2_NB"", ""3_CB"", ""5_NN"", ""6_CN"", ""8_NM"", ""9_CM""",""""&amp;VLOOKUP(M367,Alignements!$A$2:$B$10,2, FALSE)&amp;""""))))))</f>
        <v/>
      </c>
      <c r="O367" s="298"/>
      <c r="P367" t="str">
        <f t="shared" si="17"/>
        <v>"Golem de bronze": {
  "Name" : "Golem de bronze",
  "VO" : "Bronze Golem",
  "Family" : "ARTIFICIAL_CREATURE",
  "Species" : [""],
  "FP" : "13", 
  "Size" : "G",
  "AC" : 19,
  "HP" : 147, 
  "Speed" : "",
  "Alignments" : [],
  "Legendary" : ""}</v>
      </c>
    </row>
    <row r="368" spans="1:16">
      <c r="A368" s="61" t="s">
        <v>4803</v>
      </c>
      <c r="B368" s="297" t="s">
        <v>4804</v>
      </c>
      <c r="C368" s="305">
        <v>5</v>
      </c>
      <c r="D368" s="297" t="s">
        <v>4181</v>
      </c>
      <c r="E368" s="297" t="str">
        <f t="shared" si="15"/>
        <v>Créature artificielle</v>
      </c>
      <c r="F368" s="297" t="str">
        <f>VLOOKUP(E368,'Types de monstres'!$A$2:$B$17,2,FALSE)</f>
        <v>ARTIFICIAL_CREATURE</v>
      </c>
      <c r="G368" s="297" t="str">
        <f t="shared" si="16"/>
        <v/>
      </c>
      <c r="H368" s="297" t="str">
        <f>IF(OR(G368="",G368="toute race"),"",VLOOKUP(G368,'Types de monstres'!$F$2:$G$49,2,FALSE))</f>
        <v/>
      </c>
      <c r="I368" s="297" t="s">
        <v>4091</v>
      </c>
      <c r="J368" s="302">
        <v>9</v>
      </c>
      <c r="K368" s="302">
        <v>93</v>
      </c>
      <c r="L368" s="297"/>
      <c r="M368" s="297" t="s">
        <v>4193</v>
      </c>
      <c r="N368" s="297" t="str">
        <f>IF(M368="sans alignement","",IF(M368="tout alignement", """1_LB"", ""2_NB"", ""3_CB"", ""4_LN"", ""5_NN"", ""6_CN"", ""7_LM"", ""8_NM"", ""9_CM""",IF(M368="tout alignement non bon", """4_LN"", ""5_NN"", ""6_CN"", ""7_LM"", ""8_NM"", ""9_CM""",IF(M368="tout alignement mauvais", """7_LM"", ""8_NM"", ""9_CM""",IF(M368="tout alignement chaotique", """3_CB"", ""6_CN"", ""9_CM""",IF(M368="tout alignement non loyal", """2_NB"", ""3_CB"", ""5_NN"", ""6_CN"", ""8_NM"", ""9_CM""",""""&amp;VLOOKUP(M368,Alignements!$A$2:$B$10,2, FALSE)&amp;""""))))))</f>
        <v>"5_NN"</v>
      </c>
      <c r="O368" s="297"/>
      <c r="P368" t="str">
        <f t="shared" si="17"/>
        <v>"Golem de chair": {
  "Name" : "Golem de chair",
  "VO" : "Flesh Golem",
  "Family" : "ARTIFICIAL_CREATURE",
  "Species" : [""],
  "FP" : "5", 
  "Size" : "M",
  "AC" : 9,
  "HP" : 93, 
  "Speed" : "",
  "Alignments" : ["5_NN"],
  "Legendary" : ""}</v>
      </c>
    </row>
    <row r="369" spans="1:16">
      <c r="A369" s="61" t="s">
        <v>4805</v>
      </c>
      <c r="B369" s="298" t="s">
        <v>4806</v>
      </c>
      <c r="C369" s="306">
        <v>16</v>
      </c>
      <c r="D369" s="298" t="s">
        <v>4181</v>
      </c>
      <c r="E369" s="297" t="str">
        <f t="shared" si="15"/>
        <v>Créature artificielle</v>
      </c>
      <c r="F369" s="297" t="str">
        <f>VLOOKUP(E369,'Types de monstres'!$A$2:$B$17,2,FALSE)</f>
        <v>ARTIFICIAL_CREATURE</v>
      </c>
      <c r="G369" s="297" t="str">
        <f t="shared" si="16"/>
        <v/>
      </c>
      <c r="H369" s="297" t="str">
        <f>IF(OR(G369="",G369="toute race"),"",VLOOKUP(G369,'Types de monstres'!$F$2:$G$49,2,FALSE))</f>
        <v/>
      </c>
      <c r="I369" s="298" t="s">
        <v>4112</v>
      </c>
      <c r="J369" s="300">
        <v>20</v>
      </c>
      <c r="K369" s="300">
        <v>210</v>
      </c>
      <c r="L369" s="298"/>
      <c r="M369" s="298" t="s">
        <v>4130</v>
      </c>
      <c r="N369" s="297" t="str">
        <f>IF(M369="sans alignement","",IF(M369="tout alignement", """1_LB"", ""2_NB"", ""3_CB"", ""4_LN"", ""5_NN"", ""6_CN"", ""7_LM"", ""8_NM"", ""9_CM""",IF(M369="tout alignement non bon", """4_LN"", ""5_NN"", ""6_CN"", ""7_LM"", ""8_NM"", ""9_CM""",IF(M369="tout alignement mauvais", """7_LM"", ""8_NM"", ""9_CM""",IF(M369="tout alignement chaotique", """3_CB"", ""6_CN"", ""9_CM""",IF(M369="tout alignement non loyal", """2_NB"", ""3_CB"", ""5_NN"", ""6_CN"", ""8_NM"", ""9_CM""",""""&amp;VLOOKUP(M369,Alignements!$A$2:$B$10,2, FALSE)&amp;""""))))))</f>
        <v/>
      </c>
      <c r="O369" s="298"/>
      <c r="P369" t="str">
        <f t="shared" si="17"/>
        <v>"Golem de fer": {
  "Name" : "Golem de fer",
  "VO" : "Iron Golem",
  "Family" : "ARTIFICIAL_CREATURE",
  "Species" : [""],
  "FP" : "16", 
  "Size" : "G",
  "AC" : 20,
  "HP" : 210, 
  "Speed" : "",
  "Alignments" : [],
  "Legendary" : ""}</v>
      </c>
    </row>
    <row r="370" spans="1:16">
      <c r="A370" s="61" t="s">
        <v>4807</v>
      </c>
      <c r="B370" s="297" t="s">
        <v>4808</v>
      </c>
      <c r="C370" s="305">
        <v>9</v>
      </c>
      <c r="D370" s="297" t="s">
        <v>4181</v>
      </c>
      <c r="E370" s="297" t="str">
        <f t="shared" si="15"/>
        <v>Créature artificielle</v>
      </c>
      <c r="F370" s="297" t="str">
        <f>VLOOKUP(E370,'Types de monstres'!$A$2:$B$17,2,FALSE)</f>
        <v>ARTIFICIAL_CREATURE</v>
      </c>
      <c r="G370" s="297" t="str">
        <f t="shared" si="16"/>
        <v/>
      </c>
      <c r="H370" s="297" t="str">
        <f>IF(OR(G370="",G370="toute race"),"",VLOOKUP(G370,'Types de monstres'!$F$2:$G$49,2,FALSE))</f>
        <v/>
      </c>
      <c r="I370" s="297" t="s">
        <v>4112</v>
      </c>
      <c r="J370" s="302">
        <v>16</v>
      </c>
      <c r="K370" s="302">
        <v>126</v>
      </c>
      <c r="L370" s="297"/>
      <c r="M370" s="297" t="s">
        <v>4130</v>
      </c>
      <c r="N370" s="297" t="str">
        <f>IF(M370="sans alignement","",IF(M370="tout alignement", """1_LB"", ""2_NB"", ""3_CB"", ""4_LN"", ""5_NN"", ""6_CN"", ""7_LM"", ""8_NM"", ""9_CM""",IF(M370="tout alignement non bon", """4_LN"", ""5_NN"", ""6_CN"", ""7_LM"", ""8_NM"", ""9_CM""",IF(M370="tout alignement mauvais", """7_LM"", ""8_NM"", ""9_CM""",IF(M370="tout alignement chaotique", """3_CB"", ""6_CN"", ""9_CM""",IF(M370="tout alignement non loyal", """2_NB"", ""3_CB"", ""5_NN"", ""6_CN"", ""8_NM"", ""9_CM""",""""&amp;VLOOKUP(M370,Alignements!$A$2:$B$10,2, FALSE)&amp;""""))))))</f>
        <v/>
      </c>
      <c r="O370" s="297"/>
      <c r="P370" t="str">
        <f t="shared" si="17"/>
        <v>"Golem de glace": {
  "Name" : "Golem de glace",
  "VO" : "Ice Golem",
  "Family" : "ARTIFICIAL_CREATURE",
  "Species" : [""],
  "FP" : "9", 
  "Size" : "G",
  "AC" : 16,
  "HP" : 126, 
  "Speed" : "",
  "Alignments" : [],
  "Legendary" : ""}</v>
      </c>
    </row>
    <row r="371" spans="1:16">
      <c r="A371" s="61" t="s">
        <v>4809</v>
      </c>
      <c r="B371" s="298" t="s">
        <v>4810</v>
      </c>
      <c r="C371" s="306">
        <v>10</v>
      </c>
      <c r="D371" s="298" t="s">
        <v>4181</v>
      </c>
      <c r="E371" s="297" t="str">
        <f t="shared" si="15"/>
        <v>Créature artificielle</v>
      </c>
      <c r="F371" s="297" t="str">
        <f>VLOOKUP(E371,'Types de monstres'!$A$2:$B$17,2,FALSE)</f>
        <v>ARTIFICIAL_CREATURE</v>
      </c>
      <c r="G371" s="297" t="str">
        <f t="shared" si="16"/>
        <v/>
      </c>
      <c r="H371" s="297" t="str">
        <f>IF(OR(G371="",G371="toute race"),"",VLOOKUP(G371,'Types de monstres'!$F$2:$G$49,2,FALSE))</f>
        <v/>
      </c>
      <c r="I371" s="298" t="s">
        <v>4112</v>
      </c>
      <c r="J371" s="300">
        <v>17</v>
      </c>
      <c r="K371" s="300">
        <v>178</v>
      </c>
      <c r="L371" s="298"/>
      <c r="M371" s="298" t="s">
        <v>4130</v>
      </c>
      <c r="N371" s="297" t="str">
        <f>IF(M371="sans alignement","",IF(M371="tout alignement", """1_LB"", ""2_NB"", ""3_CB"", ""4_LN"", ""5_NN"", ""6_CN"", ""7_LM"", ""8_NM"", ""9_CM""",IF(M371="tout alignement non bon", """4_LN"", ""5_NN"", ""6_CN"", ""7_LM"", ""8_NM"", ""9_CM""",IF(M371="tout alignement mauvais", """7_LM"", ""8_NM"", ""9_CM""",IF(M371="tout alignement chaotique", """3_CB"", ""6_CN"", ""9_CM""",IF(M371="tout alignement non loyal", """2_NB"", ""3_CB"", ""5_NN"", ""6_CN"", ""8_NM"", ""9_CM""",""""&amp;VLOOKUP(M371,Alignements!$A$2:$B$10,2, FALSE)&amp;""""))))))</f>
        <v/>
      </c>
      <c r="O371" s="298"/>
      <c r="P371" t="str">
        <f t="shared" si="17"/>
        <v>"Golem de pierre": {
  "Name" : "Golem de pierre",
  "VO" : "Stone Golem",
  "Family" : "ARTIFICIAL_CREATURE",
  "Species" : [""],
  "FP" : "10", 
  "Size" : "G",
  "AC" : 17,
  "HP" : 178, 
  "Speed" : "",
  "Alignments" : [],
  "Legendary" : ""}</v>
      </c>
    </row>
    <row r="372" spans="1:16">
      <c r="A372" s="61" t="s">
        <v>4811</v>
      </c>
      <c r="B372" s="297" t="s">
        <v>4812</v>
      </c>
      <c r="C372" s="305">
        <v>5</v>
      </c>
      <c r="D372" s="297" t="s">
        <v>4121</v>
      </c>
      <c r="E372" s="297" t="str">
        <f t="shared" si="15"/>
        <v>Créature monstrueuse</v>
      </c>
      <c r="F372" s="297" t="str">
        <f>VLOOKUP(E372,'Types de monstres'!$A$2:$B$17,2,FALSE)</f>
        <v>MONSTROUS_CREATURE</v>
      </c>
      <c r="G372" s="297" t="str">
        <f t="shared" si="16"/>
        <v/>
      </c>
      <c r="H372" s="297" t="str">
        <f>IF(OR(G372="",G372="toute race"),"",VLOOKUP(G372,'Types de monstres'!$F$2:$G$49,2,FALSE))</f>
        <v/>
      </c>
      <c r="I372" s="297" t="s">
        <v>4112</v>
      </c>
      <c r="J372" s="302">
        <v>19</v>
      </c>
      <c r="K372" s="302">
        <v>114</v>
      </c>
      <c r="L372" s="297"/>
      <c r="M372" s="297" t="s">
        <v>4130</v>
      </c>
      <c r="N372" s="297" t="str">
        <f>IF(M372="sans alignement","",IF(M372="tout alignement", """1_LB"", ""2_NB"", ""3_CB"", ""4_LN"", ""5_NN"", ""6_CN"", ""7_LM"", ""8_NM"", ""9_CM""",IF(M372="tout alignement non bon", """4_LN"", ""5_NN"", ""6_CN"", ""7_LM"", ""8_NM"", ""9_CM""",IF(M372="tout alignement mauvais", """7_LM"", ""8_NM"", ""9_CM""",IF(M372="tout alignement chaotique", """3_CB"", ""6_CN"", ""9_CM""",IF(M372="tout alignement non loyal", """2_NB"", ""3_CB"", ""5_NN"", ""6_CN"", ""8_NM"", ""9_CM""",""""&amp;VLOOKUP(M372,Alignements!$A$2:$B$10,2, FALSE)&amp;""""))))))</f>
        <v/>
      </c>
      <c r="O372" s="297"/>
      <c r="P372" t="str">
        <f t="shared" si="17"/>
        <v>"Gorgone": {
  "Name" : "Gorgone",
  "VO" : "Gorgon",
  "Family" : "MONSTROUS_CREATURE",
  "Species" : [""],
  "FP" : "5", 
  "Size" : "G",
  "AC" : 19,
  "HP" : 114, 
  "Speed" : "",
  "Alignments" : [],
  "Legendary" : ""}</v>
      </c>
    </row>
    <row r="373" spans="1:16">
      <c r="A373" s="61" t="s">
        <v>4813</v>
      </c>
      <c r="B373" s="298" t="s">
        <v>4813</v>
      </c>
      <c r="C373" s="306">
        <v>17</v>
      </c>
      <c r="D373" s="298" t="s">
        <v>4136</v>
      </c>
      <c r="E373" s="297" t="str">
        <f t="shared" si="15"/>
        <v>Fiélon</v>
      </c>
      <c r="F373" s="297" t="str">
        <f>VLOOKUP(E373,'Types de monstres'!$A$2:$B$17,2,FALSE)</f>
        <v>FIEND</v>
      </c>
      <c r="G373" s="297" t="str">
        <f t="shared" si="16"/>
        <v>démon</v>
      </c>
      <c r="H373" s="297" t="str">
        <f>IF(OR(G373="",G373="toute race"),"",VLOOKUP(G373,'Types de monstres'!$F$2:$G$49,2,FALSE))</f>
        <v>DAEMON</v>
      </c>
      <c r="I373" s="298" t="s">
        <v>4149</v>
      </c>
      <c r="J373" s="300">
        <v>19</v>
      </c>
      <c r="K373" s="300">
        <v>310</v>
      </c>
      <c r="L373" s="298"/>
      <c r="M373" s="298" t="s">
        <v>4137</v>
      </c>
      <c r="N373" s="297" t="str">
        <f>IF(M373="sans alignement","",IF(M373="tout alignement", """1_LB"", ""2_NB"", ""3_CB"", ""4_LN"", ""5_NN"", ""6_CN"", ""7_LM"", ""8_NM"", ""9_CM""",IF(M373="tout alignement non bon", """4_LN"", ""5_NN"", ""6_CN"", ""7_LM"", ""8_NM"", ""9_CM""",IF(M373="tout alignement mauvais", """7_LM"", ""8_NM"", ""9_CM""",IF(M373="tout alignement chaotique", """3_CB"", ""6_CN"", ""9_CM""",IF(M373="tout alignement non loyal", """2_NB"", ""3_CB"", ""5_NN"", ""6_CN"", ""8_NM"", ""9_CM""",""""&amp;VLOOKUP(M373,Alignements!$A$2:$B$10,2, FALSE)&amp;""""))))))</f>
        <v>"9_CM"</v>
      </c>
      <c r="O373" s="298"/>
      <c r="P373" t="str">
        <f t="shared" si="17"/>
        <v>"Goristro": {
  "Name" : "Goristro",
  "VO" : "Goristro",
  "Family" : "FIEND",
  "Species" : ["DAEMON"],
  "FP" : "17", 
  "Size" : "TG",
  "AC" : 19,
  "HP" : 310, 
  "Speed" : "",
  "Alignments" : ["9_CM"],
  "Legendary" : ""}</v>
      </c>
    </row>
    <row r="374" spans="1:16">
      <c r="A374" s="301" t="s">
        <v>4814</v>
      </c>
      <c r="B374" s="297" t="s">
        <v>4815</v>
      </c>
      <c r="C374" s="305">
        <v>6</v>
      </c>
      <c r="D374" s="297" t="s">
        <v>4816</v>
      </c>
      <c r="E374" s="297" t="str">
        <f t="shared" si="15"/>
        <v>Géant</v>
      </c>
      <c r="F374" s="297" t="str">
        <f>VLOOKUP(E374,'Types de monstres'!$A$2:$B$17,2,FALSE)</f>
        <v>GIANT</v>
      </c>
      <c r="G374" s="297" t="str">
        <f t="shared" si="16"/>
        <v>géant des collines</v>
      </c>
      <c r="H374" s="297" t="str">
        <f>IF(OR(G374="",G374="toute race"),"",VLOOKUP(G374,'Types de monstres'!$F$2:$G$49,2,FALSE))</f>
        <v>GIANT_HILLS</v>
      </c>
      <c r="I374" s="297" t="s">
        <v>4149</v>
      </c>
      <c r="J374" s="302">
        <v>14</v>
      </c>
      <c r="K374" s="302">
        <v>105</v>
      </c>
      <c r="L374" s="297"/>
      <c r="M374" s="297" t="s">
        <v>4137</v>
      </c>
      <c r="N374" s="297" t="str">
        <f>IF(M374="sans alignement","",IF(M374="tout alignement", """1_LB"", ""2_NB"", ""3_CB"", ""4_LN"", ""5_NN"", ""6_CN"", ""7_LM"", ""8_NM"", ""9_CM""",IF(M374="tout alignement non bon", """4_LN"", ""5_NN"", ""6_CN"", ""7_LM"", ""8_NM"", ""9_CM""",IF(M374="tout alignement mauvais", """7_LM"", ""8_NM"", ""9_CM""",IF(M374="tout alignement chaotique", """3_CB"", ""6_CN"", ""9_CM""",IF(M374="tout alignement non loyal", """2_NB"", ""3_CB"", ""5_NN"", ""6_CN"", ""8_NM"", ""9_CM""",""""&amp;VLOOKUP(M374,Alignements!$A$2:$B$10,2, FALSE)&amp;""""))))))</f>
        <v>"9_CM"</v>
      </c>
      <c r="O374" s="297"/>
      <c r="P374" t="str">
        <f t="shared" si="17"/>
        <v>"Gosier de Grolantor": {
  "Name" : "Gosier de Grolantor",
  "VO" : "Mouth of Grolantor",
  "Family" : "GIANT",
  "Species" : ["GIANT_HILLS"],
  "FP" : "6", 
  "Size" : "TG",
  "AC" : 14,
  "HP" : 105, 
  "Speed" : "",
  "Alignments" : ["9_CM"],
  "Legendary" : ""}</v>
      </c>
    </row>
    <row r="375" spans="1:16">
      <c r="A375" s="61" t="s">
        <v>4817</v>
      </c>
      <c r="B375" s="298" t="s">
        <v>4818</v>
      </c>
      <c r="C375" s="306">
        <v>1</v>
      </c>
      <c r="D375" s="298" t="s">
        <v>4117</v>
      </c>
      <c r="E375" s="297" t="str">
        <f t="shared" si="15"/>
        <v>Mort-vivant</v>
      </c>
      <c r="F375" s="297" t="str">
        <f>VLOOKUP(E375,'Types de monstres'!$A$2:$B$17,2,FALSE)</f>
        <v>UNDEAD</v>
      </c>
      <c r="G375" s="297" t="str">
        <f t="shared" si="16"/>
        <v/>
      </c>
      <c r="H375" s="297" t="str">
        <f>IF(OR(G375="",G375="toute race"),"",VLOOKUP(G375,'Types de monstres'!$F$2:$G$49,2,FALSE))</f>
        <v/>
      </c>
      <c r="I375" s="298" t="s">
        <v>4091</v>
      </c>
      <c r="J375" s="300">
        <v>12</v>
      </c>
      <c r="K375" s="300">
        <v>22</v>
      </c>
      <c r="L375" s="298"/>
      <c r="M375" s="298" t="s">
        <v>4137</v>
      </c>
      <c r="N375" s="297" t="str">
        <f>IF(M375="sans alignement","",IF(M375="tout alignement", """1_LB"", ""2_NB"", ""3_CB"", ""4_LN"", ""5_NN"", ""6_CN"", ""7_LM"", ""8_NM"", ""9_CM""",IF(M375="tout alignement non bon", """4_LN"", ""5_NN"", ""6_CN"", ""7_LM"", ""8_NM"", ""9_CM""",IF(M375="tout alignement mauvais", """7_LM"", ""8_NM"", ""9_CM""",IF(M375="tout alignement chaotique", """3_CB"", ""6_CN"", ""9_CM""",IF(M375="tout alignement non loyal", """2_NB"", ""3_CB"", ""5_NN"", ""6_CN"", ""8_NM"", ""9_CM""",""""&amp;VLOOKUP(M375,Alignements!$A$2:$B$10,2, FALSE)&amp;""""))))))</f>
        <v>"9_CM"</v>
      </c>
      <c r="O375" s="298"/>
      <c r="P375" t="str">
        <f t="shared" si="17"/>
        <v>"Goule": {
  "Name" : "Goule",
  "VO" : "Ghoul",
  "Family" : "UNDEAD",
  "Species" : [""],
  "FP" : "1", 
  "Size" : "M",
  "AC" : 12,
  "HP" : 22, 
  "Speed" : "",
  "Alignments" : ["9_CM"],
  "Legendary" : ""}</v>
      </c>
    </row>
    <row r="376" spans="1:16">
      <c r="A376" s="61" t="s">
        <v>4819</v>
      </c>
      <c r="B376" s="297" t="s">
        <v>4820</v>
      </c>
      <c r="C376" s="305" t="s">
        <v>5620</v>
      </c>
      <c r="D376" s="297" t="s">
        <v>4128</v>
      </c>
      <c r="E376" s="297" t="str">
        <f t="shared" si="15"/>
        <v>Bête</v>
      </c>
      <c r="F376" s="297" t="str">
        <f>VLOOKUP(E376,'Types de monstres'!$A$2:$B$17,2,FALSE)</f>
        <v>BEAST</v>
      </c>
      <c r="G376" s="297" t="str">
        <f t="shared" si="16"/>
        <v/>
      </c>
      <c r="H376" s="297" t="str">
        <f>IF(OR(G376="",G376="toute race"),"",VLOOKUP(G376,'Types de monstres'!$F$2:$G$49,2,FALSE))</f>
        <v/>
      </c>
      <c r="I376" s="297" t="s">
        <v>4091</v>
      </c>
      <c r="J376" s="302">
        <v>12</v>
      </c>
      <c r="K376" s="302">
        <v>19</v>
      </c>
      <c r="L376" s="297"/>
      <c r="M376" s="297" t="s">
        <v>4130</v>
      </c>
      <c r="N376" s="297" t="str">
        <f>IF(M376="sans alignement","",IF(M376="tout alignement", """1_LB"", ""2_NB"", ""3_CB"", ""4_LN"", ""5_NN"", ""6_CN"", ""7_LM"", ""8_NM"", ""9_CM""",IF(M376="tout alignement non bon", """4_LN"", ""5_NN"", ""6_CN"", ""7_LM"", ""8_NM"", ""9_CM""",IF(M376="tout alignement mauvais", """7_LM"", ""8_NM"", ""9_CM""",IF(M376="tout alignement chaotique", """3_CB"", ""6_CN"", ""9_CM""",IF(M376="tout alignement non loyal", """2_NB"", ""3_CB"", ""5_NN"", ""6_CN"", ""8_NM"", ""9_CM""",""""&amp;VLOOKUP(M376,Alignements!$A$2:$B$10,2, FALSE)&amp;""""))))))</f>
        <v/>
      </c>
      <c r="O376" s="297"/>
      <c r="P376" t="str">
        <f t="shared" si="17"/>
        <v>"Grand singe": {
  "Name" : "Grand singe",
  "VO" : "Ape",
  "Family" : "BEAST",
  "Species" : [""],
  "FP" : "1/2", 
  "Size" : "M",
  "AC" : 12,
  "HP" : 19, 
  "Speed" : "",
  "Alignments" : [],
  "Legendary" : ""}</v>
      </c>
    </row>
    <row r="377" spans="1:16" ht="21">
      <c r="A377" s="299" t="s">
        <v>4821</v>
      </c>
      <c r="B377" s="298" t="s">
        <v>4821</v>
      </c>
      <c r="C377" s="306">
        <v>24</v>
      </c>
      <c r="D377" s="298" t="s">
        <v>4822</v>
      </c>
      <c r="E377" s="297" t="str">
        <f t="shared" si="15"/>
        <v>Fiélon</v>
      </c>
      <c r="F377" s="297" t="str">
        <f>VLOOKUP(E377,'Types de monstres'!$A$2:$B$17,2,FALSE)</f>
        <v>FIEND</v>
      </c>
      <c r="G377" s="297" t="str">
        <f t="shared" si="16"/>
        <v>démon, métamorphe</v>
      </c>
      <c r="H377" s="297" t="s">
        <v>5720</v>
      </c>
      <c r="I377" s="298" t="s">
        <v>4112</v>
      </c>
      <c r="J377" s="300">
        <v>20</v>
      </c>
      <c r="K377" s="300">
        <v>346</v>
      </c>
      <c r="L377" s="298"/>
      <c r="M377" s="298" t="s">
        <v>4137</v>
      </c>
      <c r="N377" s="297" t="str">
        <f>IF(M377="sans alignement","",IF(M377="tout alignement", """1_LB"", ""2_NB"", ""3_CB"", ""4_LN"", ""5_NN"", ""6_CN"", ""7_LM"", ""8_NM"", ""9_CM""",IF(M377="tout alignement non bon", """4_LN"", ""5_NN"", ""6_CN"", ""7_LM"", ""8_NM"", ""9_CM""",IF(M377="tout alignement mauvais", """7_LM"", ""8_NM"", ""9_CM""",IF(M377="tout alignement chaotique", """3_CB"", ""6_CN"", ""9_CM""",IF(M377="tout alignement non loyal", """2_NB"", ""3_CB"", ""5_NN"", ""6_CN"", ""8_NM"", ""9_CM""",""""&amp;VLOOKUP(M377,Alignements!$A$2:$B$10,2, FALSE)&amp;""""))))))</f>
        <v>"9_CM"</v>
      </c>
      <c r="O377" s="298"/>
      <c r="P377" t="str">
        <f t="shared" si="17"/>
        <v>"Graz'zt": {
  "Name" : "Graz'zt",
  "VO" : "Graz'zt",
  "Family" : "FIEND",
  "Species" : ["DAEMON", "METAMORPH"],
  "FP" : "24", 
  "Size" : "G",
  "AC" : 20,
  "HP" : 346, 
  "Speed" : "",
  "Alignments" : ["9_CM"],
  "Legendary" : ""}</v>
      </c>
    </row>
    <row r="378" spans="1:16">
      <c r="A378" s="61" t="s">
        <v>4823</v>
      </c>
      <c r="B378" s="297" t="s">
        <v>4823</v>
      </c>
      <c r="C378" s="305">
        <v>3</v>
      </c>
      <c r="D378" s="297" t="s">
        <v>4111</v>
      </c>
      <c r="E378" s="297" t="str">
        <f t="shared" si="15"/>
        <v>Aberration</v>
      </c>
      <c r="F378" s="297" t="str">
        <f>VLOOKUP(E378,'Types de monstres'!$A$2:$B$17,2,FALSE)</f>
        <v>ABERRATION</v>
      </c>
      <c r="G378" s="297" t="str">
        <f t="shared" si="16"/>
        <v/>
      </c>
      <c r="H378" s="297" t="str">
        <f>IF(OR(G378="",G378="toute race"),"",VLOOKUP(G378,'Types de monstres'!$F$2:$G$49,2,FALSE))</f>
        <v/>
      </c>
      <c r="I378" s="297" t="s">
        <v>4091</v>
      </c>
      <c r="J378" s="302">
        <v>12</v>
      </c>
      <c r="K378" s="302">
        <v>55</v>
      </c>
      <c r="L378" s="297" t="s">
        <v>4092</v>
      </c>
      <c r="M378" s="297" t="s">
        <v>4118</v>
      </c>
      <c r="N378" s="297" t="str">
        <f>IF(M378="sans alignement","",IF(M378="tout alignement", """1_LB"", ""2_NB"", ""3_CB"", ""4_LN"", ""5_NN"", ""6_CN"", ""7_LM"", ""8_NM"", ""9_CM""",IF(M378="tout alignement non bon", """4_LN"", ""5_NN"", ""6_CN"", ""7_LM"", ""8_NM"", ""9_CM""",IF(M378="tout alignement mauvais", """7_LM"", ""8_NM"", ""9_CM""",IF(M378="tout alignement chaotique", """3_CB"", ""6_CN"", ""9_CM""",IF(M378="tout alignement non loyal", """2_NB"", ""3_CB"", ""5_NN"", ""6_CN"", ""8_NM"", ""9_CM""",""""&amp;VLOOKUP(M378,Alignements!$A$2:$B$10,2, FALSE)&amp;""""))))))</f>
        <v>"8_NM"</v>
      </c>
      <c r="O378" s="297"/>
      <c r="P378" t="str">
        <f t="shared" si="17"/>
        <v>"Grell": {
  "Name" : "Grell",
  "VO" : "Grell",
  "Family" : "ABERRATION",
  "Species" : [""],
  "FP" : "3", 
  "Size" : "M",
  "AC" : 12,
  "HP" : 55, 
  "Speed" : "vol",
  "Alignments" : ["8_NM"],
  "Legendary" : ""}</v>
      </c>
    </row>
    <row r="379" spans="1:16">
      <c r="A379" s="61" t="s">
        <v>4824</v>
      </c>
      <c r="B379" s="298" t="s">
        <v>4825</v>
      </c>
      <c r="C379" s="306">
        <v>0</v>
      </c>
      <c r="D379" s="298" t="s">
        <v>4128</v>
      </c>
      <c r="E379" s="297" t="str">
        <f t="shared" si="15"/>
        <v>Bête</v>
      </c>
      <c r="F379" s="297" t="str">
        <f>VLOOKUP(E379,'Types de monstres'!$A$2:$B$17,2,FALSE)</f>
        <v>BEAST</v>
      </c>
      <c r="G379" s="297" t="str">
        <f t="shared" si="16"/>
        <v/>
      </c>
      <c r="H379" s="297" t="str">
        <f>IF(OR(G379="",G379="toute race"),"",VLOOKUP(G379,'Types de monstres'!$F$2:$G$49,2,FALSE))</f>
        <v/>
      </c>
      <c r="I379" s="298" t="s">
        <v>4154</v>
      </c>
      <c r="J379" s="300">
        <v>11</v>
      </c>
      <c r="K379" s="300">
        <v>1</v>
      </c>
      <c r="L379" s="298" t="s">
        <v>4113</v>
      </c>
      <c r="M379" s="298" t="s">
        <v>4130</v>
      </c>
      <c r="N379" s="297" t="str">
        <f>IF(M379="sans alignement","",IF(M379="tout alignement", """1_LB"", ""2_NB"", ""3_CB"", ""4_LN"", ""5_NN"", ""6_CN"", ""7_LM"", ""8_NM"", ""9_CM""",IF(M379="tout alignement non bon", """4_LN"", ""5_NN"", ""6_CN"", ""7_LM"", ""8_NM"", ""9_CM""",IF(M379="tout alignement mauvais", """7_LM"", ""8_NM"", ""9_CM""",IF(M379="tout alignement chaotique", """3_CB"", ""6_CN"", ""9_CM""",IF(M379="tout alignement non loyal", """2_NB"", ""3_CB"", ""5_NN"", ""6_CN"", ""8_NM"", ""9_CM""",""""&amp;VLOOKUP(M379,Alignements!$A$2:$B$10,2, FALSE)&amp;""""))))))</f>
        <v/>
      </c>
      <c r="O379" s="298"/>
      <c r="P379" t="str">
        <f t="shared" si="17"/>
        <v>"Grenouille": {
  "Name" : "Grenouille",
  "VO" : "Frog",
  "Family" : "BEAST",
  "Species" : [""],
  "FP" : "0", 
  "Size" : "TP",
  "AC" : 11,
  "HP" : 1, 
  "Speed" : "nage",
  "Alignments" : [],
  "Legendary" : ""}</v>
      </c>
    </row>
    <row r="380" spans="1:16">
      <c r="A380" s="61" t="s">
        <v>4826</v>
      </c>
      <c r="B380" s="297" t="s">
        <v>4827</v>
      </c>
      <c r="C380" s="305" t="s">
        <v>5618</v>
      </c>
      <c r="D380" s="297" t="s">
        <v>4128</v>
      </c>
      <c r="E380" s="297" t="str">
        <f t="shared" si="15"/>
        <v>Bête</v>
      </c>
      <c r="F380" s="297" t="str">
        <f>VLOOKUP(E380,'Types de monstres'!$A$2:$B$17,2,FALSE)</f>
        <v>BEAST</v>
      </c>
      <c r="G380" s="297" t="str">
        <f t="shared" si="16"/>
        <v/>
      </c>
      <c r="H380" s="297" t="str">
        <f>IF(OR(G380="",G380="toute race"),"",VLOOKUP(G380,'Types de monstres'!$F$2:$G$49,2,FALSE))</f>
        <v/>
      </c>
      <c r="I380" s="297" t="s">
        <v>4091</v>
      </c>
      <c r="J380" s="302">
        <v>11</v>
      </c>
      <c r="K380" s="302">
        <v>18</v>
      </c>
      <c r="L380" s="297" t="s">
        <v>4113</v>
      </c>
      <c r="M380" s="297" t="s">
        <v>4130</v>
      </c>
      <c r="N380" s="297" t="str">
        <f>IF(M380="sans alignement","",IF(M380="tout alignement", """1_LB"", ""2_NB"", ""3_CB"", ""4_LN"", ""5_NN"", ""6_CN"", ""7_LM"", ""8_NM"", ""9_CM""",IF(M380="tout alignement non bon", """4_LN"", ""5_NN"", ""6_CN"", ""7_LM"", ""8_NM"", ""9_CM""",IF(M380="tout alignement mauvais", """7_LM"", ""8_NM"", ""9_CM""",IF(M380="tout alignement chaotique", """3_CB"", ""6_CN"", ""9_CM""",IF(M380="tout alignement non loyal", """2_NB"", ""3_CB"", ""5_NN"", ""6_CN"", ""8_NM"", ""9_CM""",""""&amp;VLOOKUP(M380,Alignements!$A$2:$B$10,2, FALSE)&amp;""""))))))</f>
        <v/>
      </c>
      <c r="O380" s="297"/>
      <c r="P380" t="str">
        <f t="shared" si="17"/>
        <v>"Grenouille géante": {
  "Name" : "Grenouille géante",
  "VO" : "Giant Frog",
  "Family" : "BEAST",
  "Species" : [""],
  "FP" : "1/4", 
  "Size" : "M",
  "AC" : 11,
  "HP" : 18, 
  "Speed" : "nage",
  "Alignments" : [],
  "Legendary" : ""}</v>
      </c>
    </row>
    <row r="381" spans="1:16">
      <c r="A381" s="61" t="s">
        <v>4828</v>
      </c>
      <c r="B381" s="298" t="s">
        <v>4828</v>
      </c>
      <c r="C381" s="306">
        <v>2</v>
      </c>
      <c r="D381" s="298" t="s">
        <v>4121</v>
      </c>
      <c r="E381" s="297" t="str">
        <f t="shared" si="15"/>
        <v>Créature monstrueuse</v>
      </c>
      <c r="F381" s="297" t="str">
        <f>VLOOKUP(E381,'Types de monstres'!$A$2:$B$17,2,FALSE)</f>
        <v>MONSTROUS_CREATURE</v>
      </c>
      <c r="G381" s="297" t="str">
        <f t="shared" si="16"/>
        <v/>
      </c>
      <c r="H381" s="297" t="str">
        <f>IF(OR(G381="",G381="toute race"),"",VLOOKUP(G381,'Types de monstres'!$F$2:$G$49,2,FALSE))</f>
        <v/>
      </c>
      <c r="I381" s="298" t="s">
        <v>4091</v>
      </c>
      <c r="J381" s="300">
        <v>14</v>
      </c>
      <c r="K381" s="300">
        <v>27</v>
      </c>
      <c r="L381" s="298"/>
      <c r="M381" s="298" t="s">
        <v>4193</v>
      </c>
      <c r="N381" s="297" t="str">
        <f>IF(M381="sans alignement","",IF(M381="tout alignement", """1_LB"", ""2_NB"", ""3_CB"", ""4_LN"", ""5_NN"", ""6_CN"", ""7_LM"", ""8_NM"", ""9_CM""",IF(M381="tout alignement non bon", """4_LN"", ""5_NN"", ""6_CN"", ""7_LM"", ""8_NM"", ""9_CM""",IF(M381="tout alignement mauvais", """7_LM"", ""8_NM"", ""9_CM""",IF(M381="tout alignement chaotique", """3_CB"", ""6_CN"", ""9_CM""",IF(M381="tout alignement non loyal", """2_NB"", ""3_CB"", ""5_NN"", ""6_CN"", ""8_NM"", ""9_CM""",""""&amp;VLOOKUP(M381,Alignements!$A$2:$B$10,2, FALSE)&amp;""""))))))</f>
        <v>"5_NN"</v>
      </c>
      <c r="O381" s="298"/>
      <c r="P381" t="str">
        <f t="shared" si="17"/>
        <v>"Grick": {
  "Name" : "Grick",
  "VO" : "Grick",
  "Family" : "MONSTROUS_CREATURE",
  "Species" : [""],
  "FP" : "2", 
  "Size" : "M",
  "AC" : 14,
  "HP" : 27, 
  "Speed" : "",
  "Alignments" : ["5_NN"],
  "Legendary" : ""}</v>
      </c>
    </row>
    <row r="382" spans="1:16">
      <c r="A382" s="61" t="s">
        <v>4829</v>
      </c>
      <c r="B382" s="297" t="s">
        <v>4830</v>
      </c>
      <c r="C382" s="305">
        <v>7</v>
      </c>
      <c r="D382" s="297" t="s">
        <v>4121</v>
      </c>
      <c r="E382" s="297" t="str">
        <f t="shared" si="15"/>
        <v>Créature monstrueuse</v>
      </c>
      <c r="F382" s="297" t="str">
        <f>VLOOKUP(E382,'Types de monstres'!$A$2:$B$17,2,FALSE)</f>
        <v>MONSTROUS_CREATURE</v>
      </c>
      <c r="G382" s="297" t="str">
        <f t="shared" si="16"/>
        <v/>
      </c>
      <c r="H382" s="297" t="str">
        <f>IF(OR(G382="",G382="toute race"),"",VLOOKUP(G382,'Types de monstres'!$F$2:$G$49,2,FALSE))</f>
        <v/>
      </c>
      <c r="I382" s="297" t="s">
        <v>4112</v>
      </c>
      <c r="J382" s="302">
        <v>18</v>
      </c>
      <c r="K382" s="302">
        <v>75</v>
      </c>
      <c r="L382" s="297"/>
      <c r="M382" s="297" t="s">
        <v>4193</v>
      </c>
      <c r="N382" s="297" t="str">
        <f>IF(M382="sans alignement","",IF(M382="tout alignement", """1_LB"", ""2_NB"", ""3_CB"", ""4_LN"", ""5_NN"", ""6_CN"", ""7_LM"", ""8_NM"", ""9_CM""",IF(M382="tout alignement non bon", """4_LN"", ""5_NN"", ""6_CN"", ""7_LM"", ""8_NM"", ""9_CM""",IF(M382="tout alignement mauvais", """7_LM"", ""8_NM"", ""9_CM""",IF(M382="tout alignement chaotique", """3_CB"", ""6_CN"", ""9_CM""",IF(M382="tout alignement non loyal", """2_NB"", ""3_CB"", ""5_NN"", ""6_CN"", ""8_NM"", ""9_CM""",""""&amp;VLOOKUP(M382,Alignements!$A$2:$B$10,2, FALSE)&amp;""""))))))</f>
        <v>"5_NN"</v>
      </c>
      <c r="O382" s="297"/>
      <c r="P382" t="str">
        <f t="shared" si="17"/>
        <v>"Grick dominant": {
  "Name" : "Grick dominant",
  "VO" : "Grick alpha",
  "Family" : "MONSTROUS_CREATURE",
  "Species" : [""],
  "FP" : "7", 
  "Size" : "G",
  "AC" : 18,
  "HP" : 75, 
  "Speed" : "",
  "Alignments" : ["5_NN"],
  "Legendary" : ""}</v>
      </c>
    </row>
    <row r="383" spans="1:16">
      <c r="A383" s="61" t="s">
        <v>4831</v>
      </c>
      <c r="B383" s="298" t="s">
        <v>4832</v>
      </c>
      <c r="C383" s="306">
        <v>0</v>
      </c>
      <c r="D383" s="298" t="s">
        <v>4117</v>
      </c>
      <c r="E383" s="297" t="str">
        <f t="shared" si="15"/>
        <v>Mort-vivant</v>
      </c>
      <c r="F383" s="297" t="str">
        <f>VLOOKUP(E383,'Types de monstres'!$A$2:$B$17,2,FALSE)</f>
        <v>UNDEAD</v>
      </c>
      <c r="G383" s="297" t="str">
        <f t="shared" si="16"/>
        <v/>
      </c>
      <c r="H383" s="297" t="str">
        <f>IF(OR(G383="",G383="toute race"),"",VLOOKUP(G383,'Types de monstres'!$F$2:$G$49,2,FALSE))</f>
        <v/>
      </c>
      <c r="I383" s="298" t="s">
        <v>4154</v>
      </c>
      <c r="J383" s="300">
        <v>12</v>
      </c>
      <c r="K383" s="300">
        <v>2</v>
      </c>
      <c r="L383" s="298"/>
      <c r="M383" s="298" t="s">
        <v>4118</v>
      </c>
      <c r="N383" s="297" t="str">
        <f>IF(M383="sans alignement","",IF(M383="tout alignement", """1_LB"", ""2_NB"", ""3_CB"", ""4_LN"", ""5_NN"", ""6_CN"", ""7_LM"", ""8_NM"", ""9_CM""",IF(M383="tout alignement non bon", """4_LN"", ""5_NN"", ""6_CN"", ""7_LM"", ""8_NM"", ""9_CM""",IF(M383="tout alignement mauvais", """7_LM"", ""8_NM"", ""9_CM""",IF(M383="tout alignement chaotique", """3_CB"", ""6_CN"", ""9_CM""",IF(M383="tout alignement non loyal", """2_NB"", ""3_CB"", ""5_NN"", ""6_CN"", ""8_NM"", ""9_CM""",""""&amp;VLOOKUP(M383,Alignements!$A$2:$B$10,2, FALSE)&amp;""""))))))</f>
        <v>"8_NM"</v>
      </c>
      <c r="O383" s="298"/>
      <c r="P383" t="str">
        <f t="shared" si="17"/>
        <v>"Griffe rampante": {
  "Name" : "Griffe rampante",
  "VO" : "Crawling Claw",
  "Family" : "UNDEAD",
  "Species" : [""],
  "FP" : "0", 
  "Size" : "TP",
  "AC" : 12,
  "HP" : 2, 
  "Speed" : "",
  "Alignments" : ["8_NM"],
  "Legendary" : ""}</v>
      </c>
    </row>
    <row r="384" spans="1:16">
      <c r="A384" s="301" t="s">
        <v>4833</v>
      </c>
      <c r="B384" s="297" t="s">
        <v>4834</v>
      </c>
      <c r="C384" s="305">
        <v>12</v>
      </c>
      <c r="D384" s="297" t="s">
        <v>4117</v>
      </c>
      <c r="E384" s="297" t="str">
        <f t="shared" si="15"/>
        <v>Mort-vivant</v>
      </c>
      <c r="F384" s="297" t="str">
        <f>VLOOKUP(E384,'Types de monstres'!$A$2:$B$17,2,FALSE)</f>
        <v>UNDEAD</v>
      </c>
      <c r="G384" s="297" t="str">
        <f t="shared" si="16"/>
        <v/>
      </c>
      <c r="H384" s="297" t="str">
        <f>IF(OR(G384="",G384="toute race"),"",VLOOKUP(G384,'Types de monstres'!$F$2:$G$49,2,FALSE))</f>
        <v/>
      </c>
      <c r="I384" s="297" t="s">
        <v>4112</v>
      </c>
      <c r="J384" s="302">
        <v>16</v>
      </c>
      <c r="K384" s="302">
        <v>127</v>
      </c>
      <c r="L384" s="297"/>
      <c r="M384" s="297" t="s">
        <v>4137</v>
      </c>
      <c r="N384" s="297" t="str">
        <f>IF(M384="sans alignement","",IF(M384="tout alignement", """1_LB"", ""2_NB"", ""3_CB"", ""4_LN"", ""5_NN"", ""6_CN"", ""7_LM"", ""8_NM"", ""9_CM""",IF(M384="tout alignement non bon", """4_LN"", ""5_NN"", ""6_CN"", ""7_LM"", ""8_NM"", ""9_CM""",IF(M384="tout alignement mauvais", """7_LM"", ""8_NM"", ""9_CM""",IF(M384="tout alignement chaotique", """3_CB"", ""6_CN"", ""9_CM""",IF(M384="tout alignement non loyal", """2_NB"", ""3_CB"", ""5_NN"", ""6_CN"", ""8_NM"", ""9_CM""",""""&amp;VLOOKUP(M384,Alignements!$A$2:$B$10,2, FALSE)&amp;""""))))))</f>
        <v>"9_CM"</v>
      </c>
      <c r="O384" s="297"/>
      <c r="P384" t="str">
        <f t="shared" si="17"/>
        <v>"Griffecendre": {
  "Name" : "Griffecendre",
  "VO" : "Boneclaw",
  "Family" : "UNDEAD",
  "Species" : [""],
  "FP" : "12", 
  "Size" : "G",
  "AC" : 16,
  "HP" : 127, 
  "Speed" : "",
  "Alignments" : ["9_CM"],
  "Legendary" : ""}</v>
      </c>
    </row>
    <row r="385" spans="1:16">
      <c r="A385" s="61" t="s">
        <v>4835</v>
      </c>
      <c r="B385" s="298" t="s">
        <v>4835</v>
      </c>
      <c r="C385" s="306">
        <v>2</v>
      </c>
      <c r="D385" s="298" t="s">
        <v>4121</v>
      </c>
      <c r="E385" s="297" t="str">
        <f t="shared" si="15"/>
        <v>Créature monstrueuse</v>
      </c>
      <c r="F385" s="297" t="str">
        <f>VLOOKUP(E385,'Types de monstres'!$A$2:$B$17,2,FALSE)</f>
        <v>MONSTROUS_CREATURE</v>
      </c>
      <c r="G385" s="297" t="str">
        <f t="shared" si="16"/>
        <v/>
      </c>
      <c r="H385" s="297" t="str">
        <f>IF(OR(G385="",G385="toute race"),"",VLOOKUP(G385,'Types de monstres'!$F$2:$G$49,2,FALSE))</f>
        <v/>
      </c>
      <c r="I385" s="298" t="s">
        <v>4112</v>
      </c>
      <c r="J385" s="300">
        <v>12</v>
      </c>
      <c r="K385" s="300">
        <v>59</v>
      </c>
      <c r="L385" s="298" t="s">
        <v>4092</v>
      </c>
      <c r="M385" s="298" t="s">
        <v>4130</v>
      </c>
      <c r="N385" s="297" t="str">
        <f>IF(M385="sans alignement","",IF(M385="tout alignement", """1_LB"", ""2_NB"", ""3_CB"", ""4_LN"", ""5_NN"", ""6_CN"", ""7_LM"", ""8_NM"", ""9_CM""",IF(M385="tout alignement non bon", """4_LN"", ""5_NN"", ""6_CN"", ""7_LM"", ""8_NM"", ""9_CM""",IF(M385="tout alignement mauvais", """7_LM"", ""8_NM"", ""9_CM""",IF(M385="tout alignement chaotique", """3_CB"", ""6_CN"", ""9_CM""",IF(M385="tout alignement non loyal", """2_NB"", ""3_CB"", ""5_NN"", ""6_CN"", ""8_NM"", ""9_CM""",""""&amp;VLOOKUP(M385,Alignements!$A$2:$B$10,2, FALSE)&amp;""""))))))</f>
        <v/>
      </c>
      <c r="O385" s="298"/>
      <c r="P385" t="str">
        <f t="shared" si="17"/>
        <v>"Griffon": {
  "Name" : "Griffon",
  "VO" : "Griffon",
  "Family" : "MONSTROUS_CREATURE",
  "Species" : [""],
  "FP" : "2", 
  "Size" : "G",
  "AC" : 12,
  "HP" : 59, 
  "Speed" : "vol",
  "Alignments" : [],
  "Legendary" : ""}</v>
      </c>
    </row>
    <row r="386" spans="1:16">
      <c r="A386" s="61" t="s">
        <v>4836</v>
      </c>
      <c r="B386" s="297" t="s">
        <v>4836</v>
      </c>
      <c r="C386" s="305" t="s">
        <v>5618</v>
      </c>
      <c r="D386" s="297" t="s">
        <v>4839</v>
      </c>
      <c r="E386" s="297" t="str">
        <f>IF(ISERROR( FIND("(",D386) ),D386,LEFT(D386, FIND("(",D386)-2))</f>
        <v>Humanoïde</v>
      </c>
      <c r="F386" s="297" t="str">
        <f>VLOOKUP(E386,'Types de monstres'!$A$2:$B$17,2,FALSE)</f>
        <v>HUMANOID</v>
      </c>
      <c r="G386" s="297" t="str">
        <f t="shared" si="16"/>
        <v>grung</v>
      </c>
      <c r="H386" s="297" t="str">
        <f>IF(OR(G386="",G386="toute race"),"",VLOOKUP(G386,'Types de monstres'!$F$2:$G$49,2,FALSE))</f>
        <v>GRUNG</v>
      </c>
      <c r="I386" s="297" t="s">
        <v>4129</v>
      </c>
      <c r="J386" s="302">
        <v>12</v>
      </c>
      <c r="K386" s="302">
        <v>11</v>
      </c>
      <c r="L386" s="297"/>
      <c r="M386" s="297" t="s">
        <v>4097</v>
      </c>
      <c r="N386" s="297" t="str">
        <f>IF(M386="sans alignement","",IF(M386="tout alignement", """1_LB"", ""2_NB"", ""3_CB"", ""4_LN"", ""5_NN"", ""6_CN"", ""7_LM"", ""8_NM"", ""9_CM""",IF(M386="tout alignement non bon", """4_LN"", ""5_NN"", ""6_CN"", ""7_LM"", ""8_NM"", ""9_CM""",IF(M386="tout alignement mauvais", """7_LM"", ""8_NM"", ""9_CM""",IF(M386="tout alignement chaotique", """3_CB"", ""6_CN"", ""9_CM""",IF(M386="tout alignement non loyal", """2_NB"", ""3_CB"", ""5_NN"", ""6_CN"", ""8_NM"", ""9_CM""",""""&amp;VLOOKUP(M386,Alignements!$A$2:$B$10,2, FALSE)&amp;""""))))))</f>
        <v>"7_LM"</v>
      </c>
      <c r="O386" s="297"/>
      <c r="P386" t="str">
        <f t="shared" si="17"/>
        <v>"Grung": {
  "Name" : "Grung",
  "VO" : "Grung",
  "Family" : "HUMANOID",
  "Species" : ["GRUNG"],
  "FP" : "1/4", 
  "Size" : "P",
  "AC" : 12,
  "HP" : 11, 
  "Speed" : "",
  "Alignments" : ["7_LM"],
  "Legendary" : ""}</v>
      </c>
    </row>
    <row r="387" spans="1:16" ht="21">
      <c r="A387" s="299" t="s">
        <v>4837</v>
      </c>
      <c r="B387" s="298" t="s">
        <v>4838</v>
      </c>
      <c r="C387" s="306">
        <v>2</v>
      </c>
      <c r="D387" s="298" t="s">
        <v>4839</v>
      </c>
      <c r="E387" s="297" t="str">
        <f t="shared" ref="E387:E450" si="18">IF(ISERROR( FIND("(",D387) ),D387,LEFT(D387, FIND("(",D387)-2))</f>
        <v>Humanoïde</v>
      </c>
      <c r="F387" s="297" t="str">
        <f>VLOOKUP(E387,'Types de monstres'!$A$2:$B$17,2,FALSE)</f>
        <v>HUMANOID</v>
      </c>
      <c r="G387" s="297" t="str">
        <f t="shared" ref="G387:G450" si="19">IF(ISERROR( FIND("(",D387) ),"",RIGHT(LEFT(D387,LEN(D387)-1), LEN(D387)-FIND("(",D387)-1))</f>
        <v>grung</v>
      </c>
      <c r="H387" s="297" t="str">
        <f>IF(OR(G387="",G387="toute race"),"",VLOOKUP(G387,'Types de monstres'!$F$2:$G$49,2,FALSE))</f>
        <v>GRUNG</v>
      </c>
      <c r="I387" s="298" t="s">
        <v>4129</v>
      </c>
      <c r="J387" s="300">
        <v>13</v>
      </c>
      <c r="K387" s="300">
        <v>49</v>
      </c>
      <c r="L387" s="298"/>
      <c r="M387" s="298" t="s">
        <v>4097</v>
      </c>
      <c r="N387" s="297" t="str">
        <f>IF(M387="sans alignement","",IF(M387="tout alignement", """1_LB"", ""2_NB"", ""3_CB"", ""4_LN"", ""5_NN"", ""6_CN"", ""7_LM"", ""8_NM"", ""9_CM""",IF(M387="tout alignement non bon", """4_LN"", ""5_NN"", ""6_CN"", ""7_LM"", ""8_NM"", ""9_CM""",IF(M387="tout alignement mauvais", """7_LM"", ""8_NM"", ""9_CM""",IF(M387="tout alignement chaotique", """3_CB"", ""6_CN"", ""9_CM""",IF(M387="tout alignement non loyal", """2_NB"", ""3_CB"", ""5_NN"", ""6_CN"", ""8_NM"", ""9_CM""",""""&amp;VLOOKUP(M387,Alignements!$A$2:$B$10,2, FALSE)&amp;""""))))))</f>
        <v>"7_LM"</v>
      </c>
      <c r="O387" s="298"/>
      <c r="P387" t="str">
        <f t="shared" ref="P387:P450" si="20">""""&amp;A387&amp;""": {
  ""Name"" : """&amp;A387&amp;""",
  ""VO"" : """&amp;B387&amp;""",
  ""Family"" : """&amp;F387&amp;""",
  ""Species"" : ["""&amp;SUBSTITUTE(H387,", ",""", """)&amp;"""],
  ""FP"" : """&amp;SUBSTITUTE(C387,"""","")&amp;""", 
  ""Size"" : """&amp;I387&amp;""",
  ""AC"" : "&amp;J387&amp;",
  ""HP"" : "&amp;K387&amp;", 
  ""Speed"" : """&amp;L387&amp;""",
  ""Alignments"" : ["&amp;N387&amp;"],
  ""Legendary"" : """&amp;O387&amp;"""}"</f>
        <v>"Grung, guerrier d'élite": {
  "Name" : "Grung, guerrier d'élite",
  "VO" : "Grung Elite Warrior",
  "Family" : "HUMANOID",
  "Species" : ["GRUNG"],
  "FP" : "2", 
  "Size" : "P",
  "AC" : 13,
  "HP" : 49, 
  "Speed" : "",
  "Alignments" : ["7_LM"],
  "Legendary" : ""}</v>
      </c>
    </row>
    <row r="388" spans="1:16">
      <c r="A388" s="301" t="s">
        <v>4840</v>
      </c>
      <c r="B388" s="297" t="s">
        <v>4841</v>
      </c>
      <c r="C388" s="305">
        <v>1</v>
      </c>
      <c r="D388" s="297" t="s">
        <v>4839</v>
      </c>
      <c r="E388" s="297" t="str">
        <f t="shared" si="18"/>
        <v>Humanoïde</v>
      </c>
      <c r="F388" s="297" t="str">
        <f>VLOOKUP(E388,'Types de monstres'!$A$2:$B$17,2,FALSE)</f>
        <v>HUMANOID</v>
      </c>
      <c r="G388" s="297" t="str">
        <f t="shared" si="19"/>
        <v>grung</v>
      </c>
      <c r="H388" s="297" t="str">
        <f>IF(OR(G388="",G388="toute race"),"",VLOOKUP(G388,'Types de monstres'!$F$2:$G$49,2,FALSE))</f>
        <v>GRUNG</v>
      </c>
      <c r="I388" s="297" t="s">
        <v>4129</v>
      </c>
      <c r="J388" s="302">
        <v>13</v>
      </c>
      <c r="K388" s="302">
        <v>27</v>
      </c>
      <c r="L388" s="297"/>
      <c r="M388" s="297" t="s">
        <v>4097</v>
      </c>
      <c r="N388" s="297" t="str">
        <f>IF(M388="sans alignement","",IF(M388="tout alignement", """1_LB"", ""2_NB"", ""3_CB"", ""4_LN"", ""5_NN"", ""6_CN"", ""7_LM"", ""8_NM"", ""9_CM""",IF(M388="tout alignement non bon", """4_LN"", ""5_NN"", ""6_CN"", ""7_LM"", ""8_NM"", ""9_CM""",IF(M388="tout alignement mauvais", """7_LM"", ""8_NM"", ""9_CM""",IF(M388="tout alignement chaotique", """3_CB"", ""6_CN"", ""9_CM""",IF(M388="tout alignement non loyal", """2_NB"", ""3_CB"", ""5_NN"", ""6_CN"", ""8_NM"", ""9_CM""",""""&amp;VLOOKUP(M388,Alignements!$A$2:$B$10,2, FALSE)&amp;""""))))))</f>
        <v>"7_LM"</v>
      </c>
      <c r="O388" s="297"/>
      <c r="P388" t="str">
        <f t="shared" si="20"/>
        <v>"Grung, sauvage": {
  "Name" : "Grung, sauvage",
  "VO" : "Grung Wildling",
  "Family" : "HUMANOID",
  "Species" : ["GRUNG"],
  "FP" : "1", 
  "Size" : "P",
  "AC" : 13,
  "HP" : 27, 
  "Speed" : "",
  "Alignments" : ["7_LM"],
  "Legendary" : ""}</v>
      </c>
    </row>
    <row r="389" spans="1:16">
      <c r="A389" s="61" t="s">
        <v>4842</v>
      </c>
      <c r="B389" s="298" t="s">
        <v>4843</v>
      </c>
      <c r="C389" s="306">
        <v>6</v>
      </c>
      <c r="D389" s="298" t="s">
        <v>4253</v>
      </c>
      <c r="E389" s="297" t="str">
        <f t="shared" si="18"/>
        <v>Fée</v>
      </c>
      <c r="F389" s="297" t="str">
        <f>VLOOKUP(E389,'Types de monstres'!$A$2:$B$17,2,FALSE)</f>
        <v>FAIRY</v>
      </c>
      <c r="G389" s="297" t="str">
        <f t="shared" si="19"/>
        <v/>
      </c>
      <c r="H389" s="297" t="str">
        <f>IF(OR(G389="",G389="toute race"),"",VLOOKUP(G389,'Types de monstres'!$F$2:$G$49,2,FALSE))</f>
        <v/>
      </c>
      <c r="I389" s="298" t="s">
        <v>4112</v>
      </c>
      <c r="J389" s="300">
        <v>17</v>
      </c>
      <c r="K389" s="300">
        <v>75</v>
      </c>
      <c r="L389" s="298"/>
      <c r="M389" s="298" t="s">
        <v>4137</v>
      </c>
      <c r="N389" s="297" t="str">
        <f>IF(M389="sans alignement","",IF(M389="tout alignement", """1_LB"", ""2_NB"", ""3_CB"", ""4_LN"", ""5_NN"", ""6_CN"", ""7_LM"", ""8_NM"", ""9_CM""",IF(M389="tout alignement non bon", """4_LN"", ""5_NN"", ""6_CN"", ""7_LM"", ""8_NM"", ""9_CM""",IF(M389="tout alignement mauvais", """7_LM"", ""8_NM"", ""9_CM""",IF(M389="tout alignement chaotique", """3_CB"", ""6_CN"", ""9_CM""",IF(M389="tout alignement non loyal", """2_NB"", ""3_CB"", ""5_NN"", ""6_CN"", ""8_NM"", ""9_CM""",""""&amp;VLOOKUP(M389,Alignements!$A$2:$B$10,2, FALSE)&amp;""""))))))</f>
        <v>"9_CM"</v>
      </c>
      <c r="O389" s="298"/>
      <c r="P389" t="str">
        <f t="shared" si="20"/>
        <v>"Guenaude annis": {
  "Name" : "Guenaude annis",
  "VO" : "Annis Hag",
  "Family" : "FAIRY",
  "Species" : [""],
  "FP" : "6", 
  "Size" : "G",
  "AC" : 17,
  "HP" : 75, 
  "Speed" : "",
  "Alignments" : ["9_CM"],
  "Legendary" : ""}</v>
      </c>
    </row>
    <row r="390" spans="1:16">
      <c r="A390" s="61" t="s">
        <v>4844</v>
      </c>
      <c r="B390" s="297" t="s">
        <v>4845</v>
      </c>
      <c r="C390" s="305">
        <v>2</v>
      </c>
      <c r="D390" s="297" t="s">
        <v>4253</v>
      </c>
      <c r="E390" s="297" t="str">
        <f t="shared" si="18"/>
        <v>Fée</v>
      </c>
      <c r="F390" s="297" t="str">
        <f>VLOOKUP(E390,'Types de monstres'!$A$2:$B$17,2,FALSE)</f>
        <v>FAIRY</v>
      </c>
      <c r="G390" s="297" t="str">
        <f t="shared" si="19"/>
        <v/>
      </c>
      <c r="H390" s="297" t="str">
        <f>IF(OR(G390="",G390="toute race"),"",VLOOKUP(G390,'Types de monstres'!$F$2:$G$49,2,FALSE))</f>
        <v/>
      </c>
      <c r="I390" s="297" t="s">
        <v>4091</v>
      </c>
      <c r="J390" s="302">
        <v>14</v>
      </c>
      <c r="K390" s="302">
        <v>52</v>
      </c>
      <c r="L390" s="297" t="s">
        <v>4113</v>
      </c>
      <c r="M390" s="297" t="s">
        <v>4137</v>
      </c>
      <c r="N390" s="297" t="str">
        <f>IF(M390="sans alignement","",IF(M390="tout alignement", """1_LB"", ""2_NB"", ""3_CB"", ""4_LN"", ""5_NN"", ""6_CN"", ""7_LM"", ""8_NM"", ""9_CM""",IF(M390="tout alignement non bon", """4_LN"", ""5_NN"", ""6_CN"", ""7_LM"", ""8_NM"", ""9_CM""",IF(M390="tout alignement mauvais", """7_LM"", ""8_NM"", ""9_CM""",IF(M390="tout alignement chaotique", """3_CB"", ""6_CN"", ""9_CM""",IF(M390="tout alignement non loyal", """2_NB"", ""3_CB"", ""5_NN"", ""6_CN"", ""8_NM"", ""9_CM""",""""&amp;VLOOKUP(M390,Alignements!$A$2:$B$10,2, FALSE)&amp;""""))))))</f>
        <v>"9_CM"</v>
      </c>
      <c r="O390" s="297"/>
      <c r="P390" t="str">
        <f t="shared" si="20"/>
        <v>"Guenaude aquatique": {
  "Name" : "Guenaude aquatique",
  "VO" : "Sea Hag",
  "Family" : "FAIRY",
  "Species" : [""],
  "FP" : "2", 
  "Size" : "M",
  "AC" : 14,
  "HP" : 52, 
  "Speed" : "nage",
  "Alignments" : ["9_CM"],
  "Legendary" : ""}</v>
      </c>
    </row>
    <row r="391" spans="1:16">
      <c r="A391" s="299" t="s">
        <v>4846</v>
      </c>
      <c r="B391" s="298" t="s">
        <v>4847</v>
      </c>
      <c r="C391" s="306">
        <v>7</v>
      </c>
      <c r="D391" s="298" t="s">
        <v>4253</v>
      </c>
      <c r="E391" s="297" t="str">
        <f t="shared" si="18"/>
        <v>Fée</v>
      </c>
      <c r="F391" s="297" t="str">
        <f>VLOOKUP(E391,'Types de monstres'!$A$2:$B$17,2,FALSE)</f>
        <v>FAIRY</v>
      </c>
      <c r="G391" s="297" t="str">
        <f t="shared" si="19"/>
        <v/>
      </c>
      <c r="H391" s="297" t="str">
        <f>IF(OR(G391="",G391="toute race"),"",VLOOKUP(G391,'Types de monstres'!$F$2:$G$49,2,FALSE))</f>
        <v/>
      </c>
      <c r="I391" s="298" t="s">
        <v>4091</v>
      </c>
      <c r="J391" s="300">
        <v>17</v>
      </c>
      <c r="K391" s="300">
        <v>91</v>
      </c>
      <c r="L391" s="298"/>
      <c r="M391" s="298" t="s">
        <v>4137</v>
      </c>
      <c r="N391" s="297" t="str">
        <f>IF(M391="sans alignement","",IF(M391="tout alignement", """1_LB"", ""2_NB"", ""3_CB"", ""4_LN"", ""5_NN"", ""6_CN"", ""7_LM"", ""8_NM"", ""9_CM""",IF(M391="tout alignement non bon", """4_LN"", ""5_NN"", ""6_CN"", ""7_LM"", ""8_NM"", ""9_CM""",IF(M391="tout alignement mauvais", """7_LM"", ""8_NM"", ""9_CM""",IF(M391="tout alignement chaotique", """3_CB"", ""6_CN"", ""9_CM""",IF(M391="tout alignement non loyal", """2_NB"", ""3_CB"", ""5_NN"", ""6_CN"", ""8_NM"", ""9_CM""",""""&amp;VLOOKUP(M391,Alignements!$A$2:$B$10,2, FALSE)&amp;""""))))))</f>
        <v>"9_CM"</v>
      </c>
      <c r="O391" s="298"/>
      <c r="P391" t="str">
        <f t="shared" si="20"/>
        <v>"Guenaude frige": {
  "Name" : "Guenaude frige",
  "VO" : "Bheur hag",
  "Family" : "FAIRY",
  "Species" : [""],
  "FP" : "7", 
  "Size" : "M",
  "AC" : 17,
  "HP" : 91, 
  "Speed" : "",
  "Alignments" : ["9_CM"],
  "Legendary" : ""}</v>
      </c>
    </row>
    <row r="392" spans="1:16">
      <c r="A392" s="61" t="s">
        <v>4848</v>
      </c>
      <c r="B392" s="297" t="s">
        <v>4849</v>
      </c>
      <c r="C392" s="305">
        <v>5</v>
      </c>
      <c r="D392" s="297" t="s">
        <v>2914</v>
      </c>
      <c r="E392" s="297" t="str">
        <f t="shared" si="18"/>
        <v>Fiélon</v>
      </c>
      <c r="F392" s="297" t="str">
        <f>VLOOKUP(E392,'Types de monstres'!$A$2:$B$17,2,FALSE)</f>
        <v>FIEND</v>
      </c>
      <c r="G392" s="297" t="str">
        <f t="shared" si="19"/>
        <v/>
      </c>
      <c r="H392" s="297" t="str">
        <f>IF(OR(G392="",G392="toute race"),"",VLOOKUP(G392,'Types de monstres'!$F$2:$G$49,2,FALSE))</f>
        <v/>
      </c>
      <c r="I392" s="297" t="s">
        <v>4091</v>
      </c>
      <c r="J392" s="302">
        <v>17</v>
      </c>
      <c r="K392" s="302">
        <v>112</v>
      </c>
      <c r="L392" s="297"/>
      <c r="M392" s="297" t="s">
        <v>4118</v>
      </c>
      <c r="N392" s="297" t="str">
        <f>IF(M392="sans alignement","",IF(M392="tout alignement", """1_LB"", ""2_NB"", ""3_CB"", ""4_LN"", ""5_NN"", ""6_CN"", ""7_LM"", ""8_NM"", ""9_CM""",IF(M392="tout alignement non bon", """4_LN"", ""5_NN"", ""6_CN"", ""7_LM"", ""8_NM"", ""9_CM""",IF(M392="tout alignement mauvais", """7_LM"", ""8_NM"", ""9_CM""",IF(M392="tout alignement chaotique", """3_CB"", ""6_CN"", ""9_CM""",IF(M392="tout alignement non loyal", """2_NB"", ""3_CB"", ""5_NN"", ""6_CN"", ""8_NM"", ""9_CM""",""""&amp;VLOOKUP(M392,Alignements!$A$2:$B$10,2, FALSE)&amp;""""))))))</f>
        <v>"8_NM"</v>
      </c>
      <c r="O392" s="297"/>
      <c r="P392" t="str">
        <f t="shared" si="20"/>
        <v>"Guenaude nocturne": {
  "Name" : "Guenaude nocturne",
  "VO" : "Night Hag",
  "Family" : "FIEND",
  "Species" : [""],
  "FP" : "5", 
  "Size" : "M",
  "AC" : 17,
  "HP" : 112, 
  "Speed" : "",
  "Alignments" : ["8_NM"],
  "Legendary" : ""}</v>
      </c>
    </row>
    <row r="393" spans="1:16">
      <c r="A393" s="61" t="s">
        <v>4850</v>
      </c>
      <c r="B393" s="298" t="s">
        <v>4851</v>
      </c>
      <c r="C393" s="306">
        <v>3</v>
      </c>
      <c r="D393" s="298" t="s">
        <v>4253</v>
      </c>
      <c r="E393" s="297" t="str">
        <f t="shared" si="18"/>
        <v>Fée</v>
      </c>
      <c r="F393" s="297" t="str">
        <f>VLOOKUP(E393,'Types de monstres'!$A$2:$B$17,2,FALSE)</f>
        <v>FAIRY</v>
      </c>
      <c r="G393" s="297" t="str">
        <f t="shared" si="19"/>
        <v/>
      </c>
      <c r="H393" s="297" t="str">
        <f>IF(OR(G393="",G393="toute race"),"",VLOOKUP(G393,'Types de monstres'!$F$2:$G$49,2,FALSE))</f>
        <v/>
      </c>
      <c r="I393" s="298" t="s">
        <v>4091</v>
      </c>
      <c r="J393" s="300">
        <v>17</v>
      </c>
      <c r="K393" s="300">
        <v>82</v>
      </c>
      <c r="L393" s="298"/>
      <c r="M393" s="298" t="s">
        <v>4118</v>
      </c>
      <c r="N393" s="297" t="str">
        <f>IF(M393="sans alignement","",IF(M393="tout alignement", """1_LB"", ""2_NB"", ""3_CB"", ""4_LN"", ""5_NN"", ""6_CN"", ""7_LM"", ""8_NM"", ""9_CM""",IF(M393="tout alignement non bon", """4_LN"", ""5_NN"", ""6_CN"", ""7_LM"", ""8_NM"", ""9_CM""",IF(M393="tout alignement mauvais", """7_LM"", ""8_NM"", ""9_CM""",IF(M393="tout alignement chaotique", """3_CB"", ""6_CN"", ""9_CM""",IF(M393="tout alignement non loyal", """2_NB"", ""3_CB"", ""5_NN"", ""6_CN"", ""8_NM"", ""9_CM""",""""&amp;VLOOKUP(M393,Alignements!$A$2:$B$10,2, FALSE)&amp;""""))))))</f>
        <v>"8_NM"</v>
      </c>
      <c r="O393" s="298"/>
      <c r="P393" t="str">
        <f t="shared" si="20"/>
        <v>"Guenaude verte": {
  "Name" : "Guenaude verte",
  "VO" : "Green Hag",
  "Family" : "FAIRY",
  "Species" : [""],
  "FP" : "3", 
  "Size" : "M",
  "AC" : 17,
  "HP" : 82, 
  "Speed" : "",
  "Alignments" : ["8_NM"],
  "Legendary" : ""}</v>
      </c>
    </row>
    <row r="394" spans="1:16" ht="21">
      <c r="A394" s="301" t="s">
        <v>4852</v>
      </c>
      <c r="B394" s="297" t="s">
        <v>4853</v>
      </c>
      <c r="C394" s="305">
        <v>6</v>
      </c>
      <c r="D394" s="297" t="s">
        <v>4253</v>
      </c>
      <c r="E394" s="297" t="str">
        <f t="shared" si="18"/>
        <v>Fée</v>
      </c>
      <c r="F394" s="297" t="str">
        <f>VLOOKUP(E394,'Types de monstres'!$A$2:$B$17,2,FALSE)</f>
        <v>FAIRY</v>
      </c>
      <c r="G394" s="297" t="str">
        <f t="shared" si="19"/>
        <v/>
      </c>
      <c r="H394" s="297" t="str">
        <f>IF(OR(G394="",G394="toute race"),"",VLOOKUP(G394,'Types de monstres'!$F$2:$G$49,2,FALSE))</f>
        <v/>
      </c>
      <c r="I394" s="297" t="s">
        <v>4091</v>
      </c>
      <c r="J394" s="302">
        <v>17</v>
      </c>
      <c r="K394" s="302">
        <v>82</v>
      </c>
      <c r="L394" s="297"/>
      <c r="M394" s="297" t="s">
        <v>4118</v>
      </c>
      <c r="N394" s="297" t="str">
        <f>IF(M394="sans alignement","",IF(M394="tout alignement", """1_LB"", ""2_NB"", ""3_CB"", ""4_LN"", ""5_NN"", ""6_CN"", ""7_LM"", ""8_NM"", ""9_CM""",IF(M394="tout alignement non bon", """4_LN"", ""5_NN"", ""6_CN"", ""7_LM"", ""8_NM"", ""9_CM""",IF(M394="tout alignement mauvais", """7_LM"", ""8_NM"", ""9_CM""",IF(M394="tout alignement chaotique", """3_CB"", ""6_CN"", ""9_CM""",IF(M394="tout alignement non loyal", """2_NB"", ""3_CB"", ""5_NN"", ""6_CN"", ""8_NM"", ""9_CM""",""""&amp;VLOOKUP(M394,Alignements!$A$2:$B$10,2, FALSE)&amp;""""))))))</f>
        <v>"8_NM"</v>
      </c>
      <c r="O394" s="297"/>
      <c r="P394" t="str">
        <f t="shared" si="20"/>
        <v>"Guenaude visionnaire": {
  "Name" : "Guenaude visionnaire",
  "VO" : "Dusk Hag",
  "Family" : "FAIRY",
  "Species" : [""],
  "FP" : "6", 
  "Size" : "M",
  "AC" : 17,
  "HP" : 82, 
  "Speed" : "",
  "Alignments" : ["8_NM"],
  "Legendary" : ""}</v>
      </c>
    </row>
    <row r="395" spans="1:16">
      <c r="A395" s="61" t="s">
        <v>4854</v>
      </c>
      <c r="B395" s="298" t="s">
        <v>4855</v>
      </c>
      <c r="C395" s="306" t="s">
        <v>5620</v>
      </c>
      <c r="D395" s="298" t="s">
        <v>4128</v>
      </c>
      <c r="E395" s="297" t="str">
        <f t="shared" si="18"/>
        <v>Bête</v>
      </c>
      <c r="F395" s="297" t="str">
        <f>VLOOKUP(E395,'Types de monstres'!$A$2:$B$17,2,FALSE)</f>
        <v>BEAST</v>
      </c>
      <c r="G395" s="297" t="str">
        <f t="shared" si="19"/>
        <v/>
      </c>
      <c r="H395" s="297" t="str">
        <f>IF(OR(G395="",G395="toute race"),"",VLOOKUP(G395,'Types de monstres'!$F$2:$G$49,2,FALSE))</f>
        <v/>
      </c>
      <c r="I395" s="298" t="s">
        <v>4091</v>
      </c>
      <c r="J395" s="300">
        <v>12</v>
      </c>
      <c r="K395" s="300">
        <v>13</v>
      </c>
      <c r="L395" s="298" t="s">
        <v>4092</v>
      </c>
      <c r="M395" s="298" t="s">
        <v>4130</v>
      </c>
      <c r="N395" s="297" t="str">
        <f>IF(M395="sans alignement","",IF(M395="tout alignement", """1_LB"", ""2_NB"", ""3_CB"", ""4_LN"", ""5_NN"", ""6_CN"", ""7_LM"", ""8_NM"", ""9_CM""",IF(M395="tout alignement non bon", """4_LN"", ""5_NN"", ""6_CN"", ""7_LM"", ""8_NM"", ""9_CM""",IF(M395="tout alignement mauvais", """7_LM"", ""8_NM"", ""9_CM""",IF(M395="tout alignement chaotique", """3_CB"", ""6_CN"", ""9_CM""",IF(M395="tout alignement non loyal", """2_NB"", ""3_CB"", ""5_NN"", ""6_CN"", ""8_NM"", ""9_CM""",""""&amp;VLOOKUP(M395,Alignements!$A$2:$B$10,2, FALSE)&amp;""""))))))</f>
        <v/>
      </c>
      <c r="O395" s="298"/>
      <c r="P395" t="str">
        <f t="shared" si="20"/>
        <v>"Guêpe géante": {
  "Name" : "Guêpe géante",
  "VO" : "Giant Wasp",
  "Family" : "BEAST",
  "Species" : [""],
  "FP" : "1/2", 
  "Size" : "M",
  "AC" : 12,
  "HP" : 13, 
  "Speed" : "vol",
  "Alignments" : [],
  "Legendary" : ""}</v>
      </c>
    </row>
    <row r="396" spans="1:16">
      <c r="A396" s="301" t="s">
        <v>4856</v>
      </c>
      <c r="B396" s="297" t="s">
        <v>4857</v>
      </c>
      <c r="C396" s="305">
        <v>5</v>
      </c>
      <c r="D396" s="297" t="s">
        <v>2914</v>
      </c>
      <c r="E396" s="297" t="str">
        <f t="shared" si="18"/>
        <v>Fiélon</v>
      </c>
      <c r="F396" s="297" t="str">
        <f>VLOOKUP(E396,'Types de monstres'!$A$2:$B$17,2,FALSE)</f>
        <v>FIEND</v>
      </c>
      <c r="G396" s="297" t="str">
        <f t="shared" si="19"/>
        <v/>
      </c>
      <c r="H396" s="297" t="str">
        <f>IF(OR(G396="",G396="toute race"),"",VLOOKUP(G396,'Types de monstres'!$F$2:$G$49,2,FALSE))</f>
        <v/>
      </c>
      <c r="I396" s="297" t="s">
        <v>4112</v>
      </c>
      <c r="J396" s="302">
        <v>19</v>
      </c>
      <c r="K396" s="302">
        <v>52</v>
      </c>
      <c r="L396" s="297" t="s">
        <v>4092</v>
      </c>
      <c r="M396" s="297" t="s">
        <v>4097</v>
      </c>
      <c r="N396" s="297" t="str">
        <f>IF(M396="sans alignement","",IF(M396="tout alignement", """1_LB"", ""2_NB"", ""3_CB"", ""4_LN"", ""5_NN"", ""6_CN"", ""7_LM"", ""8_NM"", ""9_CM""",IF(M396="tout alignement non bon", """4_LN"", ""5_NN"", ""6_CN"", ""7_LM"", ""8_NM"", ""9_CM""",IF(M396="tout alignement mauvais", """7_LM"", ""8_NM"", ""9_CM""",IF(M396="tout alignement chaotique", """3_CB"", ""6_CN"", ""9_CM""",IF(M396="tout alignement non loyal", """2_NB"", ""3_CB"", ""5_NN"", ""6_CN"", ""8_NM"", ""9_CM""",""""&amp;VLOOKUP(M396,Alignements!$A$2:$B$10,2, FALSE)&amp;""""))))))</f>
        <v>"7_LM"</v>
      </c>
      <c r="O396" s="297"/>
      <c r="P396" t="str">
        <f t="shared" si="20"/>
        <v>"Guêpe infernale": {
  "Name" : "Guêpe infernale",
  "VO" : "Hellwasp",
  "Family" : "FIEND",
  "Species" : [""],
  "FP" : "5", 
  "Size" : "G",
  "AC" : 19,
  "HP" : 52, 
  "Speed" : "vol",
  "Alignments" : ["7_LM"],
  "Legendary" : ""}</v>
      </c>
    </row>
    <row r="397" spans="1:16">
      <c r="A397" s="61" t="s">
        <v>4858</v>
      </c>
      <c r="B397" s="298" t="s">
        <v>4859</v>
      </c>
      <c r="C397" s="306" t="s">
        <v>5618</v>
      </c>
      <c r="D397" s="298" t="s">
        <v>4117</v>
      </c>
      <c r="E397" s="297" t="str">
        <f t="shared" si="18"/>
        <v>Mort-vivant</v>
      </c>
      <c r="F397" s="297" t="str">
        <f>VLOOKUP(E397,'Types de monstres'!$A$2:$B$17,2,FALSE)</f>
        <v>UNDEAD</v>
      </c>
      <c r="G397" s="297" t="str">
        <f t="shared" si="19"/>
        <v/>
      </c>
      <c r="H397" s="297" t="str">
        <f>IF(OR(G397="",G397="toute race"),"",VLOOKUP(G397,'Types de monstres'!$F$2:$G$49,2,FALSE))</f>
        <v/>
      </c>
      <c r="I397" s="298" t="s">
        <v>4091</v>
      </c>
      <c r="J397" s="300">
        <v>8</v>
      </c>
      <c r="K397" s="300">
        <v>19</v>
      </c>
      <c r="L397" s="298"/>
      <c r="M397" s="298" t="s">
        <v>4193</v>
      </c>
      <c r="N397" s="297" t="str">
        <f>IF(M397="sans alignement","",IF(M397="tout alignement", """1_LB"", ""2_NB"", ""3_CB"", ""4_LN"", ""5_NN"", ""6_CN"", ""7_LM"", ""8_NM"", ""9_CM""",IF(M397="tout alignement non bon", """4_LN"", ""5_NN"", ""6_CN"", ""7_LM"", ""8_NM"", ""9_CM""",IF(M397="tout alignement mauvais", """7_LM"", ""8_NM"", ""9_CM""",IF(M397="tout alignement chaotique", """3_CB"", ""6_CN"", ""9_CM""",IF(M397="tout alignement non loyal", """2_NB"", ""3_CB"", ""5_NN"", ""6_CN"", ""8_NM"", ""9_CM""",""""&amp;VLOOKUP(M397,Alignements!$A$2:$B$10,2, FALSE)&amp;""""))))))</f>
        <v>"5_NN"</v>
      </c>
      <c r="O397" s="298"/>
      <c r="P397" t="str">
        <f t="shared" si="20"/>
        <v>"Guerrier momifié": {
  "Name" : "Guerrier momifié",
  "VO" : "Mummified Warrior",
  "Family" : "UNDEAD",
  "Species" : [""],
  "FP" : "1/4", 
  "Size" : "M",
  "AC" : 8,
  "HP" : 19, 
  "Speed" : "",
  "Alignments" : ["5_NN"],
  "Legendary" : ""}</v>
      </c>
    </row>
    <row r="398" spans="1:16">
      <c r="A398" s="61" t="s">
        <v>4860</v>
      </c>
      <c r="B398" s="297" t="s">
        <v>4861</v>
      </c>
      <c r="C398" s="305" t="s">
        <v>5619</v>
      </c>
      <c r="D398" s="297" t="s">
        <v>4108</v>
      </c>
      <c r="E398" s="297" t="str">
        <f t="shared" si="18"/>
        <v>Humanoïde</v>
      </c>
      <c r="F398" s="297" t="str">
        <f>VLOOKUP(E398,'Types de monstres'!$A$2:$B$17,2,FALSE)</f>
        <v>HUMANOID</v>
      </c>
      <c r="G398" s="297" t="str">
        <f t="shared" si="19"/>
        <v>toute race</v>
      </c>
      <c r="H398" s="297" t="str">
        <f>IF(OR(G398="",G398="toute race"),"",VLOOKUP(G398,'Types de monstres'!$F$2:$G$49,2,FALSE))</f>
        <v/>
      </c>
      <c r="I398" s="297" t="s">
        <v>4091</v>
      </c>
      <c r="J398" s="302">
        <v>12</v>
      </c>
      <c r="K398" s="302">
        <v>11</v>
      </c>
      <c r="L398" s="297"/>
      <c r="M398" s="297" t="s">
        <v>4109</v>
      </c>
      <c r="N398" s="297" t="str">
        <f>IF(M398="sans alignement","",IF(M398="tout alignement", """1_LB"", ""2_NB"", ""3_CB"", ""4_LN"", ""5_NN"", ""6_CN"", ""7_LM"", ""8_NM"", ""9_CM""",IF(M398="tout alignement non bon", """4_LN"", ""5_NN"", ""6_CN"", ""7_LM"", ""8_NM"", ""9_CM""",IF(M398="tout alignement mauvais", """7_LM"", ""8_NM"", ""9_CM""",IF(M398="tout alignement chaotique", """3_CB"", ""6_CN"", ""9_CM""",IF(M398="tout alignement non loyal", """2_NB"", ""3_CB"", ""5_NN"", ""6_CN"", ""8_NM"", ""9_CM""",""""&amp;VLOOKUP(M398,Alignements!$A$2:$B$10,2, FALSE)&amp;""""))))))</f>
        <v>"1_LB", "2_NB", "3_CB", "4_LN", "5_NN", "6_CN", "7_LM", "8_NM", "9_CM"</v>
      </c>
      <c r="O398" s="297"/>
      <c r="P398" t="str">
        <f t="shared" si="20"/>
        <v>"Guerrier tribal": {
  "Name" : "Guerrier tribal",
  "VO" : "Tribal Warrior",
  "Family" : "HUMANOID",
  "Species" : [""],
  "FP" : "1/8", 
  "Size" : "M",
  "AC" : 12,
  "HP" : 11, 
  "Speed" : "",
  "Alignments" : ["1_LB", "2_NB", "3_CB", "4_LN", "5_NN", "6_CN", "7_LM", "8_NM", "9_CM"],
  "Legendary" : ""}</v>
      </c>
    </row>
    <row r="399" spans="1:16">
      <c r="A399" s="61" t="s">
        <v>4862</v>
      </c>
      <c r="B399" s="298" t="s">
        <v>4862</v>
      </c>
      <c r="C399" s="306">
        <v>11</v>
      </c>
      <c r="D399" s="298" t="s">
        <v>4121</v>
      </c>
      <c r="E399" s="297" t="str">
        <f t="shared" si="18"/>
        <v>Créature monstrueuse</v>
      </c>
      <c r="F399" s="297" t="str">
        <f>VLOOKUP(E399,'Types de monstres'!$A$2:$B$17,2,FALSE)</f>
        <v>MONSTROUS_CREATURE</v>
      </c>
      <c r="G399" s="297" t="str">
        <f t="shared" si="19"/>
        <v/>
      </c>
      <c r="H399" s="297" t="str">
        <f>IF(OR(G399="",G399="toute race"),"",VLOOKUP(G399,'Types de monstres'!$F$2:$G$49,2,FALSE))</f>
        <v/>
      </c>
      <c r="I399" s="298" t="s">
        <v>4112</v>
      </c>
      <c r="J399" s="300">
        <v>17</v>
      </c>
      <c r="K399" s="300">
        <v>136</v>
      </c>
      <c r="L399" s="298" t="s">
        <v>4092</v>
      </c>
      <c r="M399" s="298" t="s">
        <v>4145</v>
      </c>
      <c r="N399" s="297" t="str">
        <f>IF(M399="sans alignement","",IF(M399="tout alignement", """1_LB"", ""2_NB"", ""3_CB"", ""4_LN"", ""5_NN"", ""6_CN"", ""7_LM"", ""8_NM"", ""9_CM""",IF(M399="tout alignement non bon", """4_LN"", ""5_NN"", ""6_CN"", ""7_LM"", ""8_NM"", ""9_CM""",IF(M399="tout alignement mauvais", """7_LM"", ""8_NM"", ""9_CM""",IF(M399="tout alignement chaotique", """3_CB"", ""6_CN"", ""9_CM""",IF(M399="tout alignement non loyal", """2_NB"", ""3_CB"", ""5_NN"", ""6_CN"", ""8_NM"", ""9_CM""",""""&amp;VLOOKUP(M399,Alignements!$A$2:$B$10,2, FALSE)&amp;""""))))))</f>
        <v>"4_LN"</v>
      </c>
      <c r="O399" s="298" t="s">
        <v>4114</v>
      </c>
      <c r="P399" t="str">
        <f t="shared" si="20"/>
        <v>"Gynosphinx": {
  "Name" : "Gynosphinx",
  "VO" : "Gynosphinx",
  "Family" : "MONSTROUS_CREATURE",
  "Species" : [""],
  "FP" : "11", 
  "Size" : "G",
  "AC" : 17,
  "HP" : 136, 
  "Speed" : "vol",
  "Alignments" : ["4_LN"],
  "Legendary" : "Légendaire"}</v>
      </c>
    </row>
    <row r="400" spans="1:16">
      <c r="A400" s="301" t="s">
        <v>4863</v>
      </c>
      <c r="B400" s="297" t="s">
        <v>4863</v>
      </c>
      <c r="C400" s="305">
        <v>23</v>
      </c>
      <c r="D400" s="297" t="s">
        <v>4242</v>
      </c>
      <c r="E400" s="297" t="str">
        <f t="shared" si="18"/>
        <v>Humanoïde</v>
      </c>
      <c r="F400" s="297" t="str">
        <f>VLOOKUP(E400,'Types de monstres'!$A$2:$B$17,2,FALSE)</f>
        <v>HUMANOID</v>
      </c>
      <c r="G400" s="297" t="str">
        <f t="shared" si="19"/>
        <v>humain</v>
      </c>
      <c r="H400" s="297" t="str">
        <f>IF(OR(G400="",G400="toute race"),"",VLOOKUP(G400,'Types de monstres'!$F$2:$G$49,2,FALSE))</f>
        <v>HUMAN</v>
      </c>
      <c r="I400" s="297" t="s">
        <v>4091</v>
      </c>
      <c r="J400" s="302">
        <v>14</v>
      </c>
      <c r="K400" s="302">
        <v>246</v>
      </c>
      <c r="L400" s="297"/>
      <c r="M400" s="297" t="s">
        <v>4137</v>
      </c>
      <c r="N400" s="297" t="str">
        <f>IF(M400="sans alignement","",IF(M400="tout alignement", """1_LB"", ""2_NB"", ""3_CB"", ""4_LN"", ""5_NN"", ""6_CN"", ""7_LM"", ""8_NM"", ""9_CM""",IF(M400="tout alignement non bon", """4_LN"", ""5_NN"", ""6_CN"", ""7_LM"", ""8_NM"", ""9_CM""",IF(M400="tout alignement mauvais", """7_LM"", ""8_NM"", ""9_CM""",IF(M400="tout alignement chaotique", """3_CB"", ""6_CN"", ""9_CM""",IF(M400="tout alignement non loyal", """2_NB"", ""3_CB"", ""5_NN"", ""6_CN"", ""8_NM"", ""9_CM""",""""&amp;VLOOKUP(M400,Alignements!$A$2:$B$10,2, FALSE)&amp;""""))))))</f>
        <v>"9_CM"</v>
      </c>
      <c r="O400" s="297"/>
      <c r="P400" t="str">
        <f t="shared" si="20"/>
        <v>"Halaster Blackcloak": {
  "Name" : "Halaster Blackcloak",
  "VO" : "Halaster Blackcloak",
  "Family" : "HUMANOID",
  "Species" : ["HUMAN"],
  "FP" : "23", 
  "Size" : "M",
  "AC" : 14,
  "HP" : 246, 
  "Speed" : "",
  "Alignments" : ["9_CM"],
  "Legendary" : ""}</v>
      </c>
    </row>
    <row r="401" spans="1:16">
      <c r="A401" s="61" t="s">
        <v>4864</v>
      </c>
      <c r="B401" s="298" t="s">
        <v>4865</v>
      </c>
      <c r="C401" s="306">
        <v>1</v>
      </c>
      <c r="D401" s="298" t="s">
        <v>4121</v>
      </c>
      <c r="E401" s="297" t="str">
        <f t="shared" si="18"/>
        <v>Créature monstrueuse</v>
      </c>
      <c r="F401" s="297" t="str">
        <f>VLOOKUP(E401,'Types de monstres'!$A$2:$B$17,2,FALSE)</f>
        <v>MONSTROUS_CREATURE</v>
      </c>
      <c r="G401" s="297" t="str">
        <f t="shared" si="19"/>
        <v/>
      </c>
      <c r="H401" s="297" t="str">
        <f>IF(OR(G401="",G401="toute race"),"",VLOOKUP(G401,'Types de monstres'!$F$2:$G$49,2,FALSE))</f>
        <v/>
      </c>
      <c r="I401" s="298" t="s">
        <v>4091</v>
      </c>
      <c r="J401" s="300">
        <v>11</v>
      </c>
      <c r="K401" s="300">
        <v>38</v>
      </c>
      <c r="L401" s="298" t="s">
        <v>4092</v>
      </c>
      <c r="M401" s="298" t="s">
        <v>4137</v>
      </c>
      <c r="N401" s="297" t="str">
        <f>IF(M401="sans alignement","",IF(M401="tout alignement", """1_LB"", ""2_NB"", ""3_CB"", ""4_LN"", ""5_NN"", ""6_CN"", ""7_LM"", ""8_NM"", ""9_CM""",IF(M401="tout alignement non bon", """4_LN"", ""5_NN"", ""6_CN"", ""7_LM"", ""8_NM"", ""9_CM""",IF(M401="tout alignement mauvais", """7_LM"", ""8_NM"", ""9_CM""",IF(M401="tout alignement chaotique", """3_CB"", ""6_CN"", ""9_CM""",IF(M401="tout alignement non loyal", """2_NB"", ""3_CB"", ""5_NN"", ""6_CN"", ""8_NM"", ""9_CM""",""""&amp;VLOOKUP(M401,Alignements!$A$2:$B$10,2, FALSE)&amp;""""))))))</f>
        <v>"9_CM"</v>
      </c>
      <c r="O401" s="298"/>
      <c r="P401" t="str">
        <f t="shared" si="20"/>
        <v>"Harpie": {
  "Name" : "Harpie",
  "VO" : "Harpy",
  "Family" : "MONSTROUS_CREATURE",
  "Species" : [""],
  "FP" : "1", 
  "Size" : "M",
  "AC" : 11,
  "HP" : 38, 
  "Speed" : "vol",
  "Alignments" : ["9_CM"],
  "Legendary" : ""}</v>
      </c>
    </row>
    <row r="402" spans="1:16">
      <c r="A402" s="61" t="s">
        <v>4866</v>
      </c>
      <c r="B402" s="297" t="s">
        <v>4866</v>
      </c>
      <c r="C402" s="305">
        <v>8</v>
      </c>
      <c r="D402" s="297" t="s">
        <v>4136</v>
      </c>
      <c r="E402" s="297" t="str">
        <f t="shared" si="18"/>
        <v>Fiélon</v>
      </c>
      <c r="F402" s="297" t="str">
        <f>VLOOKUP(E402,'Types de monstres'!$A$2:$B$17,2,FALSE)</f>
        <v>FIEND</v>
      </c>
      <c r="G402" s="297" t="str">
        <f t="shared" si="19"/>
        <v>démon</v>
      </c>
      <c r="H402" s="297" t="str">
        <f>IF(OR(G402="",G402="toute race"),"",VLOOKUP(G402,'Types de monstres'!$F$2:$G$49,2,FALSE))</f>
        <v>DAEMON</v>
      </c>
      <c r="I402" s="297" t="s">
        <v>4112</v>
      </c>
      <c r="J402" s="302">
        <v>16</v>
      </c>
      <c r="K402" s="302">
        <v>136</v>
      </c>
      <c r="L402" s="297"/>
      <c r="M402" s="297" t="s">
        <v>4137</v>
      </c>
      <c r="N402" s="297" t="str">
        <f>IF(M402="sans alignement","",IF(M402="tout alignement", """1_LB"", ""2_NB"", ""3_CB"", ""4_LN"", ""5_NN"", ""6_CN"", ""7_LM"", ""8_NM"", ""9_CM""",IF(M402="tout alignement non bon", """4_LN"", ""5_NN"", ""6_CN"", ""7_LM"", ""8_NM"", ""9_CM""",IF(M402="tout alignement mauvais", """7_LM"", ""8_NM"", ""9_CM""",IF(M402="tout alignement chaotique", """3_CB"", ""6_CN"", ""9_CM""",IF(M402="tout alignement non loyal", """2_NB"", ""3_CB"", ""5_NN"", ""6_CN"", ""8_NM"", ""9_CM""",""""&amp;VLOOKUP(M402,Alignements!$A$2:$B$10,2, FALSE)&amp;""""))))))</f>
        <v>"9_CM"</v>
      </c>
      <c r="O402" s="297"/>
      <c r="P402" t="str">
        <f t="shared" si="20"/>
        <v>"Hezrou": {
  "Name" : "Hezrou",
  "VO" : "Hezrou",
  "Family" : "FIEND",
  "Species" : ["DAEMON"],
  "FP" : "8", 
  "Size" : "G",
  "AC" : 16,
  "HP" : 136, 
  "Speed" : "",
  "Alignments" : ["9_CM"],
  "Legendary" : ""}</v>
      </c>
    </row>
    <row r="403" spans="1:16">
      <c r="A403" s="61" t="s">
        <v>4867</v>
      </c>
      <c r="B403" s="298" t="s">
        <v>4868</v>
      </c>
      <c r="C403" s="306">
        <v>0</v>
      </c>
      <c r="D403" s="298" t="s">
        <v>4128</v>
      </c>
      <c r="E403" s="297" t="str">
        <f t="shared" si="18"/>
        <v>Bête</v>
      </c>
      <c r="F403" s="297" t="str">
        <f>VLOOKUP(E403,'Types de monstres'!$A$2:$B$17,2,FALSE)</f>
        <v>BEAST</v>
      </c>
      <c r="G403" s="297" t="str">
        <f t="shared" si="19"/>
        <v/>
      </c>
      <c r="H403" s="297" t="str">
        <f>IF(OR(G403="",G403="toute race"),"",VLOOKUP(G403,'Types de monstres'!$F$2:$G$49,2,FALSE))</f>
        <v/>
      </c>
      <c r="I403" s="298" t="s">
        <v>4154</v>
      </c>
      <c r="J403" s="300">
        <v>11</v>
      </c>
      <c r="K403" s="300">
        <v>1</v>
      </c>
      <c r="L403" s="298" t="s">
        <v>4113</v>
      </c>
      <c r="M403" s="298" t="s">
        <v>4130</v>
      </c>
      <c r="N403" s="297" t="str">
        <f>IF(M403="sans alignement","",IF(M403="tout alignement", """1_LB"", ""2_NB"", ""3_CB"", ""4_LN"", ""5_NN"", ""6_CN"", ""7_LM"", ""8_NM"", ""9_CM""",IF(M403="tout alignement non bon", """4_LN"", ""5_NN"", ""6_CN"", ""7_LM"", ""8_NM"", ""9_CM""",IF(M403="tout alignement mauvais", """7_LM"", ""8_NM"", ""9_CM""",IF(M403="tout alignement chaotique", """3_CB"", ""6_CN"", ""9_CM""",IF(M403="tout alignement non loyal", """2_NB"", ""3_CB"", ""5_NN"", ""6_CN"", ""8_NM"", ""9_CM""",""""&amp;VLOOKUP(M403,Alignements!$A$2:$B$10,2, FALSE)&amp;""""))))))</f>
        <v/>
      </c>
      <c r="O403" s="298"/>
      <c r="P403" t="str">
        <f t="shared" si="20"/>
        <v>"Hippocampe": {
  "Name" : "Hippocampe",
  "VO" : "Sea Horse",
  "Family" : "BEAST",
  "Species" : [""],
  "FP" : "0", 
  "Size" : "TP",
  "AC" : 11,
  "HP" : 1, 
  "Speed" : "nage",
  "Alignments" : [],
  "Legendary" : ""}</v>
      </c>
    </row>
    <row r="404" spans="1:16">
      <c r="A404" s="61" t="s">
        <v>4869</v>
      </c>
      <c r="B404" s="297" t="s">
        <v>4870</v>
      </c>
      <c r="C404" s="305" t="s">
        <v>5620</v>
      </c>
      <c r="D404" s="297" t="s">
        <v>4128</v>
      </c>
      <c r="E404" s="297" t="str">
        <f t="shared" si="18"/>
        <v>Bête</v>
      </c>
      <c r="F404" s="297" t="str">
        <f>VLOOKUP(E404,'Types de monstres'!$A$2:$B$17,2,FALSE)</f>
        <v>BEAST</v>
      </c>
      <c r="G404" s="297" t="str">
        <f t="shared" si="19"/>
        <v/>
      </c>
      <c r="H404" s="297" t="str">
        <f>IF(OR(G404="",G404="toute race"),"",VLOOKUP(G404,'Types de monstres'!$F$2:$G$49,2,FALSE))</f>
        <v/>
      </c>
      <c r="I404" s="297" t="s">
        <v>4112</v>
      </c>
      <c r="J404" s="302">
        <v>13</v>
      </c>
      <c r="K404" s="302">
        <v>16</v>
      </c>
      <c r="L404" s="297" t="s">
        <v>4113</v>
      </c>
      <c r="M404" s="297" t="s">
        <v>4130</v>
      </c>
      <c r="N404" s="297" t="str">
        <f>IF(M404="sans alignement","",IF(M404="tout alignement", """1_LB"", ""2_NB"", ""3_CB"", ""4_LN"", ""5_NN"", ""6_CN"", ""7_LM"", ""8_NM"", ""9_CM""",IF(M404="tout alignement non bon", """4_LN"", ""5_NN"", ""6_CN"", ""7_LM"", ""8_NM"", ""9_CM""",IF(M404="tout alignement mauvais", """7_LM"", ""8_NM"", ""9_CM""",IF(M404="tout alignement chaotique", """3_CB"", ""6_CN"", ""9_CM""",IF(M404="tout alignement non loyal", """2_NB"", ""3_CB"", ""5_NN"", ""6_CN"", ""8_NM"", ""9_CM""",""""&amp;VLOOKUP(M404,Alignements!$A$2:$B$10,2, FALSE)&amp;""""))))))</f>
        <v/>
      </c>
      <c r="O404" s="297"/>
      <c r="P404" t="str">
        <f t="shared" si="20"/>
        <v>"Hippocampe géant": {
  "Name" : "Hippocampe géant",
  "VO" : "Giant Sea Horse",
  "Family" : "BEAST",
  "Species" : [""],
  "FP" : "1/2", 
  "Size" : "G",
  "AC" : 13,
  "HP" : 16, 
  "Speed" : "nage",
  "Alignments" : [],
  "Legendary" : ""}</v>
      </c>
    </row>
    <row r="405" spans="1:16">
      <c r="A405" s="61" t="s">
        <v>4871</v>
      </c>
      <c r="B405" s="298" t="s">
        <v>4872</v>
      </c>
      <c r="C405" s="306">
        <v>1</v>
      </c>
      <c r="D405" s="298" t="s">
        <v>4121</v>
      </c>
      <c r="E405" s="297" t="str">
        <f t="shared" si="18"/>
        <v>Créature monstrueuse</v>
      </c>
      <c r="F405" s="297" t="str">
        <f>VLOOKUP(E405,'Types de monstres'!$A$2:$B$17,2,FALSE)</f>
        <v>MONSTROUS_CREATURE</v>
      </c>
      <c r="G405" s="297" t="str">
        <f t="shared" si="19"/>
        <v/>
      </c>
      <c r="H405" s="297" t="str">
        <f>IF(OR(G405="",G405="toute race"),"",VLOOKUP(G405,'Types de monstres'!$F$2:$G$49,2,FALSE))</f>
        <v/>
      </c>
      <c r="I405" s="298" t="s">
        <v>4112</v>
      </c>
      <c r="J405" s="300">
        <v>11</v>
      </c>
      <c r="K405" s="300">
        <v>19</v>
      </c>
      <c r="L405" s="298" t="s">
        <v>4092</v>
      </c>
      <c r="M405" s="298" t="s">
        <v>4130</v>
      </c>
      <c r="N405" s="297" t="str">
        <f>IF(M405="sans alignement","",IF(M405="tout alignement", """1_LB"", ""2_NB"", ""3_CB"", ""4_LN"", ""5_NN"", ""6_CN"", ""7_LM"", ""8_NM"", ""9_CM""",IF(M405="tout alignement non bon", """4_LN"", ""5_NN"", ""6_CN"", ""7_LM"", ""8_NM"", ""9_CM""",IF(M405="tout alignement mauvais", """7_LM"", ""8_NM"", ""9_CM""",IF(M405="tout alignement chaotique", """3_CB"", ""6_CN"", ""9_CM""",IF(M405="tout alignement non loyal", """2_NB"", ""3_CB"", ""5_NN"", ""6_CN"", ""8_NM"", ""9_CM""",""""&amp;VLOOKUP(M405,Alignements!$A$2:$B$10,2, FALSE)&amp;""""))))))</f>
        <v/>
      </c>
      <c r="O405" s="298"/>
      <c r="P405" t="str">
        <f t="shared" si="20"/>
        <v>"Hippogriffe": {
  "Name" : "Hippogriffe",
  "VO" : "Hippogriff",
  "Family" : "MONSTROUS_CREATURE",
  "Species" : [""],
  "FP" : "1", 
  "Size" : "G",
  "AC" : 11,
  "HP" : 19, 
  "Speed" : "vol",
  "Alignments" : [],
  "Legendary" : ""}</v>
      </c>
    </row>
    <row r="406" spans="1:16">
      <c r="A406" s="61" t="s">
        <v>4873</v>
      </c>
      <c r="B406" s="297" t="s">
        <v>4874</v>
      </c>
      <c r="C406" s="305" t="s">
        <v>5620</v>
      </c>
      <c r="D406" s="297" t="s">
        <v>4790</v>
      </c>
      <c r="E406" s="297" t="str">
        <f t="shared" si="18"/>
        <v>Humanoïde</v>
      </c>
      <c r="F406" s="297" t="str">
        <f>VLOOKUP(E406,'Types de monstres'!$A$2:$B$17,2,FALSE)</f>
        <v>HUMANOID</v>
      </c>
      <c r="G406" s="297" t="str">
        <f t="shared" si="19"/>
        <v>gobelinoïde</v>
      </c>
      <c r="H406" s="297" t="str">
        <f>IF(OR(G406="",G406="toute race"),"",VLOOKUP(G406,'Types de monstres'!$F$2:$G$49,2,FALSE))</f>
        <v>GOBELINOID</v>
      </c>
      <c r="I406" s="297" t="s">
        <v>4091</v>
      </c>
      <c r="J406" s="302">
        <v>18</v>
      </c>
      <c r="K406" s="302">
        <v>11</v>
      </c>
      <c r="L406" s="297"/>
      <c r="M406" s="297" t="s">
        <v>4097</v>
      </c>
      <c r="N406" s="297" t="str">
        <f>IF(M406="sans alignement","",IF(M406="tout alignement", """1_LB"", ""2_NB"", ""3_CB"", ""4_LN"", ""5_NN"", ""6_CN"", ""7_LM"", ""8_NM"", ""9_CM""",IF(M406="tout alignement non bon", """4_LN"", ""5_NN"", ""6_CN"", ""7_LM"", ""8_NM"", ""9_CM""",IF(M406="tout alignement mauvais", """7_LM"", ""8_NM"", ""9_CM""",IF(M406="tout alignement chaotique", """3_CB"", ""6_CN"", ""9_CM""",IF(M406="tout alignement non loyal", """2_NB"", ""3_CB"", ""5_NN"", ""6_CN"", ""8_NM"", ""9_CM""",""""&amp;VLOOKUP(M406,Alignements!$A$2:$B$10,2, FALSE)&amp;""""))))))</f>
        <v>"7_LM"</v>
      </c>
      <c r="O406" s="297"/>
      <c r="P406" t="str">
        <f t="shared" si="20"/>
        <v>"Hobgobelin": {
  "Name" : "Hobgobelin",
  "VO" : "Hobgoblin",
  "Family" : "HUMANOID",
  "Species" : ["GOBELINOID"],
  "FP" : "1/2", 
  "Size" : "M",
  "AC" : 18,
  "HP" : 11, 
  "Speed" : "",
  "Alignments" : ["7_LM"],
  "Legendary" : ""}</v>
      </c>
    </row>
    <row r="407" spans="1:16">
      <c r="A407" s="61" t="s">
        <v>4875</v>
      </c>
      <c r="B407" s="298" t="s">
        <v>4876</v>
      </c>
      <c r="C407" s="306">
        <v>3</v>
      </c>
      <c r="D407" s="298" t="s">
        <v>4790</v>
      </c>
      <c r="E407" s="297" t="str">
        <f t="shared" si="18"/>
        <v>Humanoïde</v>
      </c>
      <c r="F407" s="297" t="str">
        <f>VLOOKUP(E407,'Types de monstres'!$A$2:$B$17,2,FALSE)</f>
        <v>HUMANOID</v>
      </c>
      <c r="G407" s="297" t="str">
        <f t="shared" si="19"/>
        <v>gobelinoïde</v>
      </c>
      <c r="H407" s="297" t="str">
        <f>IF(OR(G407="",G407="toute race"),"",VLOOKUP(G407,'Types de monstres'!$F$2:$G$49,2,FALSE))</f>
        <v>GOBELINOID</v>
      </c>
      <c r="I407" s="298" t="s">
        <v>4091</v>
      </c>
      <c r="J407" s="300">
        <v>17</v>
      </c>
      <c r="K407" s="300">
        <v>39</v>
      </c>
      <c r="L407" s="298"/>
      <c r="M407" s="298" t="s">
        <v>4097</v>
      </c>
      <c r="N407" s="297" t="str">
        <f>IF(M407="sans alignement","",IF(M407="tout alignement", """1_LB"", ""2_NB"", ""3_CB"", ""4_LN"", ""5_NN"", ""6_CN"", ""7_LM"", ""8_NM"", ""9_CM""",IF(M407="tout alignement non bon", """4_LN"", ""5_NN"", ""6_CN"", ""7_LM"", ""8_NM"", ""9_CM""",IF(M407="tout alignement mauvais", """7_LM"", ""8_NM"", ""9_CM""",IF(M407="tout alignement chaotique", """3_CB"", ""6_CN"", ""9_CM""",IF(M407="tout alignement non loyal", """2_NB"", ""3_CB"", ""5_NN"", ""6_CN"", ""8_NM"", ""9_CM""",""""&amp;VLOOKUP(M407,Alignements!$A$2:$B$10,2, FALSE)&amp;""""))))))</f>
        <v>"7_LM"</v>
      </c>
      <c r="O407" s="298"/>
      <c r="P407" t="str">
        <f t="shared" si="20"/>
        <v>"Hobgobelin, capitaine": {
  "Name" : "Hobgobelin, capitaine",
  "VO" : "Hobgoblin Captain",
  "Family" : "HUMANOID",
  "Species" : ["GOBELINOID"],
  "FP" : "3", 
  "Size" : "M",
  "AC" : 17,
  "HP" : 39, 
  "Speed" : "",
  "Alignments" : ["7_LM"],
  "Legendary" : ""}</v>
      </c>
    </row>
    <row r="408" spans="1:16" ht="21">
      <c r="A408" s="61" t="s">
        <v>4877</v>
      </c>
      <c r="B408" s="297" t="s">
        <v>4878</v>
      </c>
      <c r="C408" s="305">
        <v>2</v>
      </c>
      <c r="D408" s="297" t="s">
        <v>4790</v>
      </c>
      <c r="E408" s="297" t="str">
        <f t="shared" si="18"/>
        <v>Humanoïde</v>
      </c>
      <c r="F408" s="297" t="str">
        <f>VLOOKUP(E408,'Types de monstres'!$A$2:$B$17,2,FALSE)</f>
        <v>HUMANOID</v>
      </c>
      <c r="G408" s="297" t="str">
        <f t="shared" si="19"/>
        <v>gobelinoïde</v>
      </c>
      <c r="H408" s="297" t="str">
        <f>IF(OR(G408="",G408="toute race"),"",VLOOKUP(G408,'Types de monstres'!$F$2:$G$49,2,FALSE))</f>
        <v>GOBELINOID</v>
      </c>
      <c r="I408" s="297" t="s">
        <v>4091</v>
      </c>
      <c r="J408" s="302">
        <v>15</v>
      </c>
      <c r="K408" s="302">
        <v>32</v>
      </c>
      <c r="L408" s="297"/>
      <c r="M408" s="297" t="s">
        <v>4097</v>
      </c>
      <c r="N408" s="297" t="str">
        <f>IF(M408="sans alignement","",IF(M408="tout alignement", """1_LB"", ""2_NB"", ""3_CB"", ""4_LN"", ""5_NN"", ""6_CN"", ""7_LM"", ""8_NM"", ""9_CM""",IF(M408="tout alignement non bon", """4_LN"", ""5_NN"", ""6_CN"", ""7_LM"", ""8_NM"", ""9_CM""",IF(M408="tout alignement mauvais", """7_LM"", ""8_NM"", ""9_CM""",IF(M408="tout alignement chaotique", """3_CB"", ""6_CN"", ""9_CM""",IF(M408="tout alignement non loyal", """2_NB"", ""3_CB"", ""5_NN"", ""6_CN"", ""8_NM"", ""9_CM""",""""&amp;VLOOKUP(M408,Alignements!$A$2:$B$10,2, FALSE)&amp;""""))))))</f>
        <v>"7_LM"</v>
      </c>
      <c r="O408" s="297"/>
      <c r="P408" t="str">
        <f t="shared" si="20"/>
        <v>"Hobgobelin, ombre de fer": {
  "Name" : "Hobgobelin, ombre de fer",
  "VO" : "Hobgoblin Iron Shadow",
  "Family" : "HUMANOID",
  "Species" : ["GOBELINOID"],
  "FP" : "2", 
  "Size" : "M",
  "AC" : 15,
  "HP" : 32, 
  "Speed" : "",
  "Alignments" : ["7_LM"],
  "Legendary" : ""}</v>
      </c>
    </row>
    <row r="409" spans="1:16" ht="21">
      <c r="A409" s="299" t="s">
        <v>4879</v>
      </c>
      <c r="B409" s="298" t="s">
        <v>4880</v>
      </c>
      <c r="C409" s="306">
        <v>4</v>
      </c>
      <c r="D409" s="298" t="s">
        <v>4790</v>
      </c>
      <c r="E409" s="297" t="str">
        <f t="shared" si="18"/>
        <v>Humanoïde</v>
      </c>
      <c r="F409" s="297" t="str">
        <f>VLOOKUP(E409,'Types de monstres'!$A$2:$B$17,2,FALSE)</f>
        <v>HUMANOID</v>
      </c>
      <c r="G409" s="297" t="str">
        <f t="shared" si="19"/>
        <v>gobelinoïde</v>
      </c>
      <c r="H409" s="297" t="str">
        <f>IF(OR(G409="",G409="toute race"),"",VLOOKUP(G409,'Types de monstres'!$F$2:$G$49,2,FALSE))</f>
        <v>GOBELINOID</v>
      </c>
      <c r="I409" s="298" t="s">
        <v>4091</v>
      </c>
      <c r="J409" s="300">
        <v>13</v>
      </c>
      <c r="K409" s="300">
        <v>45</v>
      </c>
      <c r="L409" s="298"/>
      <c r="M409" s="298" t="s">
        <v>4097</v>
      </c>
      <c r="N409" s="297" t="str">
        <f>IF(M409="sans alignement","",IF(M409="tout alignement", """1_LB"", ""2_NB"", ""3_CB"", ""4_LN"", ""5_NN"", ""6_CN"", ""7_LM"", ""8_NM"", ""9_CM""",IF(M409="tout alignement non bon", """4_LN"", ""5_NN"", ""6_CN"", ""7_LM"", ""8_NM"", ""9_CM""",IF(M409="tout alignement mauvais", """7_LM"", ""8_NM"", ""9_CM""",IF(M409="tout alignement chaotique", """3_CB"", ""6_CN"", ""9_CM""",IF(M409="tout alignement non loyal", """2_NB"", ""3_CB"", ""5_NN"", ""6_CN"", ""8_NM"", ""9_CM""",""""&amp;VLOOKUP(M409,Alignements!$A$2:$B$10,2, FALSE)&amp;""""))))))</f>
        <v>"7_LM"</v>
      </c>
      <c r="O409" s="298"/>
      <c r="P409" t="str">
        <f t="shared" si="20"/>
        <v>"Hobgobelin, ravageur": {
  "Name" : "Hobgobelin, ravageur",
  "VO" : "Hobgoblin Devastator",
  "Family" : "HUMANOID",
  "Species" : ["GOBELINOID"],
  "FP" : "4", 
  "Size" : "M",
  "AC" : 13,
  "HP" : 45, 
  "Speed" : "",
  "Alignments" : ["7_LM"],
  "Legendary" : ""}</v>
      </c>
    </row>
    <row r="410" spans="1:16">
      <c r="A410" s="61" t="s">
        <v>4881</v>
      </c>
      <c r="B410" s="297" t="s">
        <v>4882</v>
      </c>
      <c r="C410" s="305">
        <v>6</v>
      </c>
      <c r="D410" s="297" t="s">
        <v>4790</v>
      </c>
      <c r="E410" s="297" t="str">
        <f t="shared" si="18"/>
        <v>Humanoïde</v>
      </c>
      <c r="F410" s="297" t="str">
        <f>VLOOKUP(E410,'Types de monstres'!$A$2:$B$17,2,FALSE)</f>
        <v>HUMANOID</v>
      </c>
      <c r="G410" s="297" t="str">
        <f t="shared" si="19"/>
        <v>gobelinoïde</v>
      </c>
      <c r="H410" s="297" t="str">
        <f>IF(OR(G410="",G410="toute race"),"",VLOOKUP(G410,'Types de monstres'!$F$2:$G$49,2,FALSE))</f>
        <v>GOBELINOID</v>
      </c>
      <c r="I410" s="297" t="s">
        <v>4091</v>
      </c>
      <c r="J410" s="302">
        <v>20</v>
      </c>
      <c r="K410" s="302">
        <v>97</v>
      </c>
      <c r="L410" s="297"/>
      <c r="M410" s="297" t="s">
        <v>4097</v>
      </c>
      <c r="N410" s="297" t="str">
        <f>IF(M410="sans alignement","",IF(M410="tout alignement", """1_LB"", ""2_NB"", ""3_CB"", ""4_LN"", ""5_NN"", ""6_CN"", ""7_LM"", ""8_NM"", ""9_CM""",IF(M410="tout alignement non bon", """4_LN"", ""5_NN"", ""6_CN"", ""7_LM"", ""8_NM"", ""9_CM""",IF(M410="tout alignement mauvais", """7_LM"", ""8_NM"", ""9_CM""",IF(M410="tout alignement chaotique", """3_CB"", ""6_CN"", ""9_CM""",IF(M410="tout alignement non loyal", """2_NB"", ""3_CB"", ""5_NN"", ""6_CN"", ""8_NM"", ""9_CM""",""""&amp;VLOOKUP(M410,Alignements!$A$2:$B$10,2, FALSE)&amp;""""))))))</f>
        <v>"7_LM"</v>
      </c>
      <c r="O410" s="297"/>
      <c r="P410" t="str">
        <f t="shared" si="20"/>
        <v>"Hobgobelin, seigneur de guerre": {
  "Name" : "Hobgobelin, seigneur de guerre",
  "VO" : "Hobgoblin Warlord",
  "Family" : "HUMANOID",
  "Species" : ["GOBELINOID"],
  "FP" : "6", 
  "Size" : "M",
  "AC" : 20,
  "HP" : 97, 
  "Speed" : "",
  "Alignments" : ["7_LM"],
  "Legendary" : ""}</v>
      </c>
    </row>
    <row r="411" spans="1:16">
      <c r="A411" s="61" t="s">
        <v>4883</v>
      </c>
      <c r="B411" s="298" t="s">
        <v>4884</v>
      </c>
      <c r="C411" s="306" t="s">
        <v>5620</v>
      </c>
      <c r="D411" s="298" t="s">
        <v>4885</v>
      </c>
      <c r="E411" s="297" t="str">
        <f t="shared" si="18"/>
        <v>Humanoïde</v>
      </c>
      <c r="F411" s="297" t="str">
        <f>VLOOKUP(E411,'Types de monstres'!$A$2:$B$17,2,FALSE)</f>
        <v>HUMANOID</v>
      </c>
      <c r="G411" s="297" t="str">
        <f t="shared" si="19"/>
        <v>homme-lézard</v>
      </c>
      <c r="H411" s="297" t="str">
        <f>IF(OR(G411="",G411="toute race"),"",VLOOKUP(G411,'Types de monstres'!$F$2:$G$49,2,FALSE))</f>
        <v>LIZARD_MAN</v>
      </c>
      <c r="I411" s="298" t="s">
        <v>4091</v>
      </c>
      <c r="J411" s="300">
        <v>15</v>
      </c>
      <c r="K411" s="300">
        <v>22</v>
      </c>
      <c r="L411" s="298" t="s">
        <v>4113</v>
      </c>
      <c r="M411" s="298" t="s">
        <v>4193</v>
      </c>
      <c r="N411" s="297" t="str">
        <f>IF(M411="sans alignement","",IF(M411="tout alignement", """1_LB"", ""2_NB"", ""3_CB"", ""4_LN"", ""5_NN"", ""6_CN"", ""7_LM"", ""8_NM"", ""9_CM""",IF(M411="tout alignement non bon", """4_LN"", ""5_NN"", ""6_CN"", ""7_LM"", ""8_NM"", ""9_CM""",IF(M411="tout alignement mauvais", """7_LM"", ""8_NM"", ""9_CM""",IF(M411="tout alignement chaotique", """3_CB"", ""6_CN"", ""9_CM""",IF(M411="tout alignement non loyal", """2_NB"", ""3_CB"", ""5_NN"", ""6_CN"", ""8_NM"", ""9_CM""",""""&amp;VLOOKUP(M411,Alignements!$A$2:$B$10,2, FALSE)&amp;""""))))))</f>
        <v>"5_NN"</v>
      </c>
      <c r="O411" s="298"/>
      <c r="P411" t="str">
        <f t="shared" si="20"/>
        <v>"Homme-lézard": {
  "Name" : "Homme-lézard",
  "VO" : "Lizardfolk",
  "Family" : "HUMANOID",
  "Species" : ["LIZARD_MAN"],
  "FP" : "1/2", 
  "Size" : "M",
  "AC" : 15,
  "HP" : 22, 
  "Speed" : "nage",
  "Alignments" : ["5_NN"],
  "Legendary" : ""}</v>
      </c>
    </row>
    <row r="412" spans="1:16">
      <c r="A412" s="61" t="s">
        <v>4886</v>
      </c>
      <c r="B412" s="297" t="s">
        <v>4887</v>
      </c>
      <c r="C412" s="305">
        <v>2</v>
      </c>
      <c r="D412" s="297" t="s">
        <v>4885</v>
      </c>
      <c r="E412" s="297" t="str">
        <f t="shared" si="18"/>
        <v>Humanoïde</v>
      </c>
      <c r="F412" s="297" t="str">
        <f>VLOOKUP(E412,'Types de monstres'!$A$2:$B$17,2,FALSE)</f>
        <v>HUMANOID</v>
      </c>
      <c r="G412" s="297" t="str">
        <f t="shared" si="19"/>
        <v>homme-lézard</v>
      </c>
      <c r="H412" s="297" t="str">
        <f>IF(OR(G412="",G412="toute race"),"",VLOOKUP(G412,'Types de monstres'!$F$2:$G$49,2,FALSE))</f>
        <v>LIZARD_MAN</v>
      </c>
      <c r="I412" s="297" t="s">
        <v>4091</v>
      </c>
      <c r="J412" s="302">
        <v>13</v>
      </c>
      <c r="K412" s="302">
        <v>27</v>
      </c>
      <c r="L412" s="297" t="s">
        <v>4113</v>
      </c>
      <c r="M412" s="297" t="s">
        <v>4193</v>
      </c>
      <c r="N412" s="297" t="str">
        <f>IF(M412="sans alignement","",IF(M412="tout alignement", """1_LB"", ""2_NB"", ""3_CB"", ""4_LN"", ""5_NN"", ""6_CN"", ""7_LM"", ""8_NM"", ""9_CM""",IF(M412="tout alignement non bon", """4_LN"", ""5_NN"", ""6_CN"", ""7_LM"", ""8_NM"", ""9_CM""",IF(M412="tout alignement mauvais", """7_LM"", ""8_NM"", ""9_CM""",IF(M412="tout alignement chaotique", """3_CB"", ""6_CN"", ""9_CM""",IF(M412="tout alignement non loyal", """2_NB"", ""3_CB"", ""5_NN"", ""6_CN"", ""8_NM"", ""9_CM""",""""&amp;VLOOKUP(M412,Alignements!$A$2:$B$10,2, FALSE)&amp;""""))))))</f>
        <v>"5_NN"</v>
      </c>
      <c r="O412" s="297"/>
      <c r="P412" t="str">
        <f t="shared" si="20"/>
        <v>"Homme-lézard, chaman": {
  "Name" : "Homme-lézard, chaman",
  "VO" : "Lizardfolk Shaman",
  "Family" : "HUMANOID",
  "Species" : ["LIZARD_MAN"],
  "FP" : "2", 
  "Size" : "M",
  "AC" : 13,
  "HP" : 27, 
  "Speed" : "nage",
  "Alignments" : ["5_NN"],
  "Legendary" : ""}</v>
      </c>
    </row>
    <row r="413" spans="1:16" ht="21">
      <c r="A413" s="61" t="s">
        <v>4888</v>
      </c>
      <c r="B413" s="298" t="s">
        <v>4889</v>
      </c>
      <c r="C413" s="306" t="s">
        <v>5619</v>
      </c>
      <c r="D413" s="298" t="s">
        <v>4890</v>
      </c>
      <c r="E413" s="297" t="str">
        <f t="shared" si="18"/>
        <v>Humanoïde</v>
      </c>
      <c r="F413" s="297" t="str">
        <f>VLOOKUP(E413,'Types de monstres'!$A$2:$B$17,2,FALSE)</f>
        <v>HUMANOID</v>
      </c>
      <c r="G413" s="297" t="str">
        <f t="shared" si="19"/>
        <v>homme-poisson</v>
      </c>
      <c r="H413" s="297" t="str">
        <f>IF(OR(G413="",G413="toute race"),"",VLOOKUP(G413,'Types de monstres'!$F$2:$G$49,2,FALSE))</f>
        <v>FISH_MAN</v>
      </c>
      <c r="I413" s="298" t="s">
        <v>4091</v>
      </c>
      <c r="J413" s="300">
        <v>11</v>
      </c>
      <c r="K413" s="300">
        <v>11</v>
      </c>
      <c r="L413" s="298" t="s">
        <v>4113</v>
      </c>
      <c r="M413" s="298" t="s">
        <v>4193</v>
      </c>
      <c r="N413" s="297" t="str">
        <f>IF(M413="sans alignement","",IF(M413="tout alignement", """1_LB"", ""2_NB"", ""3_CB"", ""4_LN"", ""5_NN"", ""6_CN"", ""7_LM"", ""8_NM"", ""9_CM""",IF(M413="tout alignement non bon", """4_LN"", ""5_NN"", ""6_CN"", ""7_LM"", ""8_NM"", ""9_CM""",IF(M413="tout alignement mauvais", """7_LM"", ""8_NM"", ""9_CM""",IF(M413="tout alignement chaotique", """3_CB"", ""6_CN"", ""9_CM""",IF(M413="tout alignement non loyal", """2_NB"", ""3_CB"", ""5_NN"", ""6_CN"", ""8_NM"", ""9_CM""",""""&amp;VLOOKUP(M413,Alignements!$A$2:$B$10,2, FALSE)&amp;""""))))))</f>
        <v>"5_NN"</v>
      </c>
      <c r="O413" s="298"/>
      <c r="P413" t="str">
        <f t="shared" si="20"/>
        <v>"Homme-poisson": {
  "Name" : "Homme-poisson",
  "VO" : "Merfolk",
  "Family" : "HUMANOID",
  "Species" : ["FISH_MAN"],
  "FP" : "1/8", 
  "Size" : "M",
  "AC" : 11,
  "HP" : 11, 
  "Speed" : "nage",
  "Alignments" : ["5_NN"],
  "Legendary" : ""}</v>
      </c>
    </row>
    <row r="414" spans="1:16">
      <c r="A414" s="61" t="s">
        <v>4891</v>
      </c>
      <c r="B414" s="297" t="s">
        <v>4892</v>
      </c>
      <c r="C414" s="305">
        <v>0</v>
      </c>
      <c r="D414" s="297" t="s">
        <v>4181</v>
      </c>
      <c r="E414" s="297" t="str">
        <f t="shared" si="18"/>
        <v>Créature artificielle</v>
      </c>
      <c r="F414" s="297" t="str">
        <f>VLOOKUP(E414,'Types de monstres'!$A$2:$B$17,2,FALSE)</f>
        <v>ARTIFICIAL_CREATURE</v>
      </c>
      <c r="G414" s="297" t="str">
        <f t="shared" si="19"/>
        <v/>
      </c>
      <c r="H414" s="297" t="str">
        <f>IF(OR(G414="",G414="toute race"),"",VLOOKUP(G414,'Types de monstres'!$F$2:$G$49,2,FALSE))</f>
        <v/>
      </c>
      <c r="I414" s="297" t="s">
        <v>4154</v>
      </c>
      <c r="J414" s="302">
        <v>13</v>
      </c>
      <c r="K414" s="302">
        <v>5</v>
      </c>
      <c r="L414" s="297" t="s">
        <v>4092</v>
      </c>
      <c r="M414" s="297" t="s">
        <v>4193</v>
      </c>
      <c r="N414" s="297" t="str">
        <f>IF(M414="sans alignement","",IF(M414="tout alignement", """1_LB"", ""2_NB"", ""3_CB"", ""4_LN"", ""5_NN"", ""6_CN"", ""7_LM"", ""8_NM"", ""9_CM""",IF(M414="tout alignement non bon", """4_LN"", ""5_NN"", ""6_CN"", ""7_LM"", ""8_NM"", ""9_CM""",IF(M414="tout alignement mauvais", """7_LM"", ""8_NM"", ""9_CM""",IF(M414="tout alignement chaotique", """3_CB"", ""6_CN"", ""9_CM""",IF(M414="tout alignement non loyal", """2_NB"", ""3_CB"", ""5_NN"", ""6_CN"", ""8_NM"", ""9_CM""",""""&amp;VLOOKUP(M414,Alignements!$A$2:$B$10,2, FALSE)&amp;""""))))))</f>
        <v>"5_NN"</v>
      </c>
      <c r="O414" s="297"/>
      <c r="P414" t="str">
        <f t="shared" si="20"/>
        <v>"Homoncule": {
  "Name" : "Homoncule",
  "VO" : "Homunculus",
  "Family" : "ARTIFICIAL_CREATURE",
  "Species" : [""],
  "FP" : "0", 
  "Size" : "TP",
  "AC" : 13,
  "HP" : 5, 
  "Speed" : "vol",
  "Alignments" : ["5_NN"],
  "Legendary" : ""}</v>
      </c>
    </row>
    <row r="415" spans="1:16">
      <c r="A415" s="61" t="s">
        <v>4893</v>
      </c>
      <c r="B415" s="298" t="s">
        <v>4894</v>
      </c>
      <c r="C415" s="306">
        <v>4</v>
      </c>
      <c r="D415" s="298" t="s">
        <v>4181</v>
      </c>
      <c r="E415" s="297" t="str">
        <f t="shared" si="18"/>
        <v>Créature artificielle</v>
      </c>
      <c r="F415" s="297" t="str">
        <f>VLOOKUP(E415,'Types de monstres'!$A$2:$B$17,2,FALSE)</f>
        <v>ARTIFICIAL_CREATURE</v>
      </c>
      <c r="G415" s="297" t="str">
        <f t="shared" si="19"/>
        <v/>
      </c>
      <c r="H415" s="297" t="str">
        <f>IF(OR(G415="",G415="toute race"),"",VLOOKUP(G415,'Types de monstres'!$F$2:$G$49,2,FALSE))</f>
        <v/>
      </c>
      <c r="I415" s="298" t="s">
        <v>4091</v>
      </c>
      <c r="J415" s="300">
        <v>20</v>
      </c>
      <c r="K415" s="300">
        <v>60</v>
      </c>
      <c r="L415" s="298" t="s">
        <v>4092</v>
      </c>
      <c r="M415" s="298" t="s">
        <v>4193</v>
      </c>
      <c r="N415" s="297" t="str">
        <f>IF(M415="sans alignement","",IF(M415="tout alignement", """1_LB"", ""2_NB"", ""3_CB"", ""4_LN"", ""5_NN"", ""6_CN"", ""7_LM"", ""8_NM"", ""9_CM""",IF(M415="tout alignement non bon", """4_LN"", ""5_NN"", ""6_CN"", ""7_LM"", ""8_NM"", ""9_CM""",IF(M415="tout alignement mauvais", """7_LM"", ""8_NM"", ""9_CM""",IF(M415="tout alignement chaotique", """3_CB"", ""6_CN"", ""9_CM""",IF(M415="tout alignement non loyal", """2_NB"", ""3_CB"", ""5_NN"", ""6_CN"", ""8_NM"", ""9_CM""",""""&amp;VLOOKUP(M415,Alignements!$A$2:$B$10,2, FALSE)&amp;""""))))))</f>
        <v>"5_NN"</v>
      </c>
      <c r="O415" s="298"/>
      <c r="P415" t="str">
        <f t="shared" si="20"/>
        <v>"Horreur casquée": {
  "Name" : "Horreur casquée",
  "VO" : "Helmed Horror",
  "Family" : "ARTIFICIAL_CREATURE",
  "Species" : [""],
  "FP" : "4", 
  "Size" : "M",
  "AC" : 20,
  "HP" : 60, 
  "Speed" : "vol",
  "Alignments" : ["5_NN"],
  "Legendary" : ""}</v>
      </c>
    </row>
    <row r="416" spans="1:16" ht="21">
      <c r="A416" s="301" t="s">
        <v>4895</v>
      </c>
      <c r="B416" s="297" t="s">
        <v>4896</v>
      </c>
      <c r="C416" s="305">
        <v>14</v>
      </c>
      <c r="D416" s="297" t="s">
        <v>4181</v>
      </c>
      <c r="E416" s="297" t="str">
        <f t="shared" si="18"/>
        <v>Créature artificielle</v>
      </c>
      <c r="F416" s="297" t="str">
        <f>VLOOKUP(E416,'Types de monstres'!$A$2:$B$17,2,FALSE)</f>
        <v>ARTIFICIAL_CREATURE</v>
      </c>
      <c r="G416" s="297" t="str">
        <f t="shared" si="19"/>
        <v/>
      </c>
      <c r="H416" s="297" t="str">
        <f>IF(OR(G416="",G416="toute race"),"",VLOOKUP(G416,'Types de monstres'!$F$2:$G$49,2,FALSE))</f>
        <v/>
      </c>
      <c r="I416" s="297" t="s">
        <v>4112</v>
      </c>
      <c r="J416" s="302">
        <v>19</v>
      </c>
      <c r="K416" s="302">
        <v>210</v>
      </c>
      <c r="L416" s="297"/>
      <c r="M416" s="297" t="s">
        <v>4097</v>
      </c>
      <c r="N416" s="297" t="str">
        <f>IF(M416="sans alignement","",IF(M416="tout alignement", """1_LB"", ""2_NB"", ""3_CB"", ""4_LN"", ""5_NN"", ""6_CN"", ""7_LM"", ""8_NM"", ""9_CM""",IF(M416="tout alignement non bon", """4_LN"", ""5_NN"", ""6_CN"", ""7_LM"", ""8_NM"", ""9_CM""",IF(M416="tout alignement mauvais", """7_LM"", ""8_NM"", ""9_CM""",IF(M416="tout alignement chaotique", """3_CB"", ""6_CN"", ""9_CM""",IF(M416="tout alignement non loyal", """2_NB"", ""3_CB"", ""5_NN"", ""6_CN"", ""8_NM"", ""9_CM""",""""&amp;VLOOKUP(M416,Alignements!$A$2:$B$10,2, FALSE)&amp;""""))))))</f>
        <v>"7_LM"</v>
      </c>
      <c r="O416" s="297"/>
      <c r="P416" t="str">
        <f t="shared" si="20"/>
        <v>"Horreur chasseresse": {
  "Name" : "Horreur chasseresse",
  "VO" : "Retriever",
  "Family" : "ARTIFICIAL_CREATURE",
  "Species" : [""],
  "FP" : "14", 
  "Size" : "G",
  "AC" : 19,
  "HP" : 210, 
  "Speed" : "",
  "Alignments" : ["7_LM"],
  "Legendary" : ""}</v>
      </c>
    </row>
    <row r="417" spans="1:16">
      <c r="A417" s="61" t="s">
        <v>4897</v>
      </c>
      <c r="B417" s="298" t="s">
        <v>4898</v>
      </c>
      <c r="C417" s="306">
        <v>3</v>
      </c>
      <c r="D417" s="298" t="s">
        <v>4121</v>
      </c>
      <c r="E417" s="297" t="str">
        <f t="shared" si="18"/>
        <v>Créature monstrueuse</v>
      </c>
      <c r="F417" s="297" t="str">
        <f>VLOOKUP(E417,'Types de monstres'!$A$2:$B$17,2,FALSE)</f>
        <v>MONSTROUS_CREATURE</v>
      </c>
      <c r="G417" s="297" t="str">
        <f t="shared" si="19"/>
        <v/>
      </c>
      <c r="H417" s="297" t="str">
        <f>IF(OR(G417="",G417="toute race"),"",VLOOKUP(G417,'Types de monstres'!$F$2:$G$49,2,FALSE))</f>
        <v/>
      </c>
      <c r="I417" s="298" t="s">
        <v>4112</v>
      </c>
      <c r="J417" s="300">
        <v>15</v>
      </c>
      <c r="K417" s="300">
        <v>75</v>
      </c>
      <c r="L417" s="298"/>
      <c r="M417" s="298" t="s">
        <v>4193</v>
      </c>
      <c r="N417" s="297" t="str">
        <f>IF(M417="sans alignement","",IF(M417="tout alignement", """1_LB"", ""2_NB"", ""3_CB"", ""4_LN"", ""5_NN"", ""6_CN"", ""7_LM"", ""8_NM"", ""9_CM""",IF(M417="tout alignement non bon", """4_LN"", ""5_NN"", ""6_CN"", ""7_LM"", ""8_NM"", ""9_CM""",IF(M417="tout alignement mauvais", """7_LM"", ""8_NM"", ""9_CM""",IF(M417="tout alignement chaotique", """3_CB"", ""6_CN"", ""9_CM""",IF(M417="tout alignement non loyal", """2_NB"", ""3_CB"", ""5_NN"", ""6_CN"", ""8_NM"", ""9_CM""",""""&amp;VLOOKUP(M417,Alignements!$A$2:$B$10,2, FALSE)&amp;""""))))))</f>
        <v>"5_NN"</v>
      </c>
      <c r="O417" s="298"/>
      <c r="P417" t="str">
        <f t="shared" si="20"/>
        <v>"Horreur crochue": {
  "Name" : "Horreur crochue",
  "VO" : "Hook Horror",
  "Family" : "MONSTROUS_CREATURE",
  "Species" : [""],
  "FP" : "3", 
  "Size" : "G",
  "AC" : 15,
  "HP" : 75, 
  "Speed" : "",
  "Alignments" : ["5_NN"],
  "Legendary" : ""}</v>
      </c>
    </row>
    <row r="418" spans="1:16">
      <c r="A418" s="61" t="s">
        <v>4899</v>
      </c>
      <c r="B418" s="297" t="s">
        <v>4899</v>
      </c>
      <c r="C418" s="305">
        <v>5</v>
      </c>
      <c r="D418" s="297" t="s">
        <v>4242</v>
      </c>
      <c r="E418" s="297" t="str">
        <f t="shared" si="18"/>
        <v>Humanoïde</v>
      </c>
      <c r="F418" s="297" t="str">
        <f>VLOOKUP(E418,'Types de monstres'!$A$2:$B$17,2,FALSE)</f>
        <v>HUMANOID</v>
      </c>
      <c r="G418" s="297" t="str">
        <f t="shared" si="19"/>
        <v>humain</v>
      </c>
      <c r="H418" s="297" t="str">
        <f>IF(OR(G418="",G418="toute race"),"",VLOOKUP(G418,'Types de monstres'!$F$2:$G$49,2,FALSE))</f>
        <v>HUMAN</v>
      </c>
      <c r="I418" s="297" t="s">
        <v>4091</v>
      </c>
      <c r="J418" s="302">
        <v>18</v>
      </c>
      <c r="K418" s="302">
        <v>112</v>
      </c>
      <c r="L418" s="297"/>
      <c r="M418" s="297" t="s">
        <v>4097</v>
      </c>
      <c r="N418" s="297" t="str">
        <f>IF(M418="sans alignement","",IF(M418="tout alignement", """1_LB"", ""2_NB"", ""3_CB"", ""4_LN"", ""5_NN"", ""6_CN"", ""7_LM"", ""8_NM"", ""9_CM""",IF(M418="tout alignement non bon", """4_LN"", ""5_NN"", ""6_CN"", ""7_LM"", ""8_NM"", ""9_CM""",IF(M418="tout alignement mauvais", """7_LM"", ""8_NM"", ""9_CM""",IF(M418="tout alignement chaotique", """3_CB"", ""6_CN"", ""9_CM""",IF(M418="tout alignement non loyal", """2_NB"", ""3_CB"", ""5_NN"", ""6_CN"", ""8_NM"", ""9_CM""",""""&amp;VLOOKUP(M418,Alignements!$A$2:$B$10,2, FALSE)&amp;""""))))))</f>
        <v>"7_LM"</v>
      </c>
      <c r="O418" s="297"/>
      <c r="P418" t="str">
        <f t="shared" si="20"/>
        <v>"Huldin": {
  "Name" : "Huldin",
  "VO" : "Huldin",
  "Family" : "HUMANOID",
  "Species" : ["HUMAN"],
  "FP" : "5", 
  "Size" : "M",
  "AC" : 18,
  "HP" : 112, 
  "Speed" : "",
  "Alignments" : ["7_LM"],
  "Legendary" : ""}</v>
      </c>
    </row>
    <row r="419" spans="1:16">
      <c r="A419" s="299" t="s">
        <v>4900</v>
      </c>
      <c r="B419" s="298" t="s">
        <v>4901</v>
      </c>
      <c r="C419" s="306">
        <v>8</v>
      </c>
      <c r="D419" s="298" t="s">
        <v>2914</v>
      </c>
      <c r="E419" s="297" t="str">
        <f t="shared" si="18"/>
        <v>Fiélon</v>
      </c>
      <c r="F419" s="297" t="str">
        <f>VLOOKUP(E419,'Types de monstres'!$A$2:$B$17,2,FALSE)</f>
        <v>FIEND</v>
      </c>
      <c r="G419" s="297" t="str">
        <f t="shared" si="19"/>
        <v/>
      </c>
      <c r="H419" s="297" t="str">
        <f>IF(OR(G419="",G419="toute race"),"",VLOOKUP(G419,'Types de monstres'!$F$2:$G$49,2,FALSE))</f>
        <v/>
      </c>
      <c r="I419" s="298" t="s">
        <v>4112</v>
      </c>
      <c r="J419" s="300">
        <v>16</v>
      </c>
      <c r="K419" s="300">
        <v>90</v>
      </c>
      <c r="L419" s="298"/>
      <c r="M419" s="298" t="s">
        <v>4137</v>
      </c>
      <c r="N419" s="297" t="str">
        <f>IF(M419="sans alignement","",IF(M419="tout alignement", """1_LB"", ""2_NB"", ""3_CB"", ""4_LN"", ""5_NN"", ""6_CN"", ""7_LM"", ""8_NM"", ""9_CM""",IF(M419="tout alignement non bon", """4_LN"", ""5_NN"", ""6_CN"", ""7_LM"", ""8_NM"", ""9_CM""",IF(M419="tout alignement mauvais", """7_LM"", ""8_NM"", ""9_CM""",IF(M419="tout alignement chaotique", """3_CB"", ""6_CN"", ""9_CM""",IF(M419="tout alignement non loyal", """2_NB"", ""3_CB"", ""5_NN"", ""6_CN"", ""8_NM"", ""9_CM""",""""&amp;VLOOKUP(M419,Alignements!$A$2:$B$10,2, FALSE)&amp;""""))))))</f>
        <v>"9_CM"</v>
      </c>
      <c r="O419" s="298"/>
      <c r="P419" t="str">
        <f t="shared" si="20"/>
        <v>"Hurleur": {
  "Name" : "Hurleur",
  "VO" : "Howler",
  "Family" : "FIEND",
  "Species" : [""],
  "FP" : "8", 
  "Size" : "G",
  "AC" : 16,
  "HP" : 90, 
  "Speed" : "",
  "Alignments" : ["9_CM"],
  "Legendary" : ""}</v>
      </c>
    </row>
    <row r="420" spans="1:16">
      <c r="A420" s="301" t="s">
        <v>4902</v>
      </c>
      <c r="B420" s="297" t="s">
        <v>4902</v>
      </c>
      <c r="C420" s="305">
        <v>21</v>
      </c>
      <c r="D420" s="297" t="s">
        <v>4096</v>
      </c>
      <c r="E420" s="297" t="str">
        <f t="shared" si="18"/>
        <v>Fiélon</v>
      </c>
      <c r="F420" s="297" t="str">
        <f>VLOOKUP(E420,'Types de monstres'!$A$2:$B$17,2,FALSE)</f>
        <v>FIEND</v>
      </c>
      <c r="G420" s="297" t="str">
        <f t="shared" si="19"/>
        <v>diable</v>
      </c>
      <c r="H420" s="297" t="str">
        <f>IF(OR(G420="",G420="toute race"),"",VLOOKUP(G420,'Types de monstres'!$F$2:$G$49,2,FALSE))</f>
        <v>DEVIL</v>
      </c>
      <c r="I420" s="297" t="s">
        <v>4112</v>
      </c>
      <c r="J420" s="302">
        <v>19</v>
      </c>
      <c r="K420" s="302">
        <v>200</v>
      </c>
      <c r="L420" s="297" t="s">
        <v>4092</v>
      </c>
      <c r="M420" s="297" t="s">
        <v>4097</v>
      </c>
      <c r="N420" s="297" t="str">
        <f>IF(M420="sans alignement","",IF(M420="tout alignement", """1_LB"", ""2_NB"", ""3_CB"", ""4_LN"", ""5_NN"", ""6_CN"", ""7_LM"", ""8_NM"", ""9_CM""",IF(M420="tout alignement non bon", """4_LN"", ""5_NN"", ""6_CN"", ""7_LM"", ""8_NM"", ""9_CM""",IF(M420="tout alignement mauvais", """7_LM"", ""8_NM"", ""9_CM""",IF(M420="tout alignement chaotique", """3_CB"", ""6_CN"", ""9_CM""",IF(M420="tout alignement non loyal", """2_NB"", ""3_CB"", ""5_NN"", ""6_CN"", ""8_NM"", ""9_CM""",""""&amp;VLOOKUP(M420,Alignements!$A$2:$B$10,2, FALSE)&amp;""""))))))</f>
        <v>"7_LM"</v>
      </c>
      <c r="O420" s="297"/>
      <c r="P420" t="str">
        <f t="shared" si="20"/>
        <v>"Hutijin": {
  "Name" : "Hutijin",
  "VO" : "Hutijin",
  "Family" : "FIEND",
  "Species" : ["DEVIL"],
  "FP" : "21", 
  "Size" : "G",
  "AC" : 19,
  "HP" : 200, 
  "Speed" : "vol",
  "Alignments" : ["7_LM"],
  "Legendary" : ""}</v>
      </c>
    </row>
    <row r="421" spans="1:16">
      <c r="A421" s="61" t="s">
        <v>4903</v>
      </c>
      <c r="B421" s="298" t="s">
        <v>4904</v>
      </c>
      <c r="C421" s="306">
        <v>8</v>
      </c>
      <c r="D421" s="298" t="s">
        <v>4121</v>
      </c>
      <c r="E421" s="297" t="str">
        <f t="shared" si="18"/>
        <v>Créature monstrueuse</v>
      </c>
      <c r="F421" s="297" t="str">
        <f>VLOOKUP(E421,'Types de monstres'!$A$2:$B$17,2,FALSE)</f>
        <v>MONSTROUS_CREATURE</v>
      </c>
      <c r="G421" s="297" t="str">
        <f t="shared" si="19"/>
        <v/>
      </c>
      <c r="H421" s="297" t="str">
        <f>IF(OR(G421="",G421="toute race"),"",VLOOKUP(G421,'Types de monstres'!$F$2:$G$49,2,FALSE))</f>
        <v/>
      </c>
      <c r="I421" s="298" t="s">
        <v>4149</v>
      </c>
      <c r="J421" s="300">
        <v>15</v>
      </c>
      <c r="K421" s="300">
        <v>172</v>
      </c>
      <c r="L421" s="298" t="s">
        <v>4113</v>
      </c>
      <c r="M421" s="298" t="s">
        <v>4130</v>
      </c>
      <c r="N421" s="297" t="str">
        <f>IF(M421="sans alignement","",IF(M421="tout alignement", """1_LB"", ""2_NB"", ""3_CB"", ""4_LN"", ""5_NN"", ""6_CN"", ""7_LM"", ""8_NM"", ""9_CM""",IF(M421="tout alignement non bon", """4_LN"", ""5_NN"", ""6_CN"", ""7_LM"", ""8_NM"", ""9_CM""",IF(M421="tout alignement mauvais", """7_LM"", ""8_NM"", ""9_CM""",IF(M421="tout alignement chaotique", """3_CB"", ""6_CN"", ""9_CM""",IF(M421="tout alignement non loyal", """2_NB"", ""3_CB"", ""5_NN"", ""6_CN"", ""8_NM"", ""9_CM""",""""&amp;VLOOKUP(M421,Alignements!$A$2:$B$10,2, FALSE)&amp;""""))))))</f>
        <v/>
      </c>
      <c r="O421" s="298"/>
      <c r="P421" t="str">
        <f t="shared" si="20"/>
        <v>"Hydre": {
  "Name" : "Hydre",
  "VO" : "Hydra",
  "Family" : "MONSTROUS_CREATURE",
  "Species" : [""],
  "FP" : "8", 
  "Size" : "TG",
  "AC" : 15,
  "HP" : 172, 
  "Speed" : "nage",
  "Alignments" : [],
  "Legendary" : ""}</v>
      </c>
    </row>
    <row r="422" spans="1:16">
      <c r="A422" s="301" t="s">
        <v>4905</v>
      </c>
      <c r="B422" s="297" t="s">
        <v>4905</v>
      </c>
      <c r="C422" s="305">
        <v>9</v>
      </c>
      <c r="D422" s="297" t="s">
        <v>4173</v>
      </c>
      <c r="E422" s="297" t="str">
        <f t="shared" si="18"/>
        <v>Fiélon</v>
      </c>
      <c r="F422" s="297" t="str">
        <f>VLOOKUP(E422,'Types de monstres'!$A$2:$B$17,2,FALSE)</f>
        <v>FIEND</v>
      </c>
      <c r="G422" s="297" t="str">
        <f t="shared" si="19"/>
        <v>yugoloth</v>
      </c>
      <c r="H422" s="297" t="str">
        <f>IF(OR(G422="",G422="toute race"),"",VLOOKUP(G422,'Types de monstres'!$F$2:$G$49,2,FALSE))</f>
        <v>YUGOLOTH</v>
      </c>
      <c r="I422" s="297" t="s">
        <v>4091</v>
      </c>
      <c r="J422" s="302">
        <v>15</v>
      </c>
      <c r="K422" s="302">
        <v>135</v>
      </c>
      <c r="L422" s="297" t="s">
        <v>4113</v>
      </c>
      <c r="M422" s="297" t="s">
        <v>4118</v>
      </c>
      <c r="N422" s="297" t="str">
        <f>IF(M422="sans alignement","",IF(M422="tout alignement", """1_LB"", ""2_NB"", ""3_CB"", ""4_LN"", ""5_NN"", ""6_CN"", ""7_LM"", ""8_NM"", ""9_CM""",IF(M422="tout alignement non bon", """4_LN"", ""5_NN"", ""6_CN"", ""7_LM"", ""8_NM"", ""9_CM""",IF(M422="tout alignement mauvais", """7_LM"", ""8_NM"", ""9_CM""",IF(M422="tout alignement chaotique", """3_CB"", ""6_CN"", ""9_CM""",IF(M422="tout alignement non loyal", """2_NB"", ""3_CB"", ""5_NN"", ""6_CN"", ""8_NM"", ""9_CM""",""""&amp;VLOOKUP(M422,Alignements!$A$2:$B$10,2, FALSE)&amp;""""))))))</f>
        <v>"8_NM"</v>
      </c>
      <c r="O422" s="297"/>
      <c r="P422" t="str">
        <f t="shared" si="20"/>
        <v>"Hydroloth": {
  "Name" : "Hydroloth",
  "VO" : "Hydroloth",
  "Family" : "FIEND",
  "Species" : ["YUGOLOTH"],
  "FP" : "9", 
  "Size" : "M",
  "AC" : 15,
  "HP" : 135, 
  "Speed" : "nage",
  "Alignments" : ["8_NM"],
  "Legendary" : ""}</v>
      </c>
    </row>
    <row r="423" spans="1:16">
      <c r="A423" s="61" t="s">
        <v>4906</v>
      </c>
      <c r="B423" s="298" t="s">
        <v>4907</v>
      </c>
      <c r="C423" s="306">
        <v>0</v>
      </c>
      <c r="D423" s="298" t="s">
        <v>4128</v>
      </c>
      <c r="E423" s="297" t="str">
        <f t="shared" si="18"/>
        <v>Bête</v>
      </c>
      <c r="F423" s="297" t="str">
        <f>VLOOKUP(E423,'Types de monstres'!$A$2:$B$17,2,FALSE)</f>
        <v>BEAST</v>
      </c>
      <c r="G423" s="297" t="str">
        <f t="shared" si="19"/>
        <v/>
      </c>
      <c r="H423" s="297" t="str">
        <f>IF(OR(G423="",G423="toute race"),"",VLOOKUP(G423,'Types de monstres'!$F$2:$G$49,2,FALSE))</f>
        <v/>
      </c>
      <c r="I423" s="298" t="s">
        <v>4091</v>
      </c>
      <c r="J423" s="300">
        <v>11</v>
      </c>
      <c r="K423" s="300">
        <v>5</v>
      </c>
      <c r="L423" s="298"/>
      <c r="M423" s="298" t="s">
        <v>4130</v>
      </c>
      <c r="N423" s="297" t="str">
        <f>IF(M423="sans alignement","",IF(M423="tout alignement", """1_LB"", ""2_NB"", ""3_CB"", ""4_LN"", ""5_NN"", ""6_CN"", ""7_LM"", ""8_NM"", ""9_CM""",IF(M423="tout alignement non bon", """4_LN"", ""5_NN"", ""6_CN"", ""7_LM"", ""8_NM"", ""9_CM""",IF(M423="tout alignement mauvais", """7_LM"", ""8_NM"", ""9_CM""",IF(M423="tout alignement chaotique", """3_CB"", ""6_CN"", ""9_CM""",IF(M423="tout alignement non loyal", """2_NB"", ""3_CB"", ""5_NN"", ""6_CN"", ""8_NM"", ""9_CM""",""""&amp;VLOOKUP(M423,Alignements!$A$2:$B$10,2, FALSE)&amp;""""))))))</f>
        <v/>
      </c>
      <c r="O423" s="298"/>
      <c r="P423" t="str">
        <f t="shared" si="20"/>
        <v>"Hyène": {
  "Name" : "Hyène",
  "VO" : "Hyena",
  "Family" : "BEAST",
  "Species" : [""],
  "FP" : "0", 
  "Size" : "M",
  "AC" : 11,
  "HP" : 5, 
  "Speed" : "",
  "Alignments" : [],
  "Legendary" : ""}</v>
      </c>
    </row>
    <row r="424" spans="1:16">
      <c r="A424" s="61" t="s">
        <v>4908</v>
      </c>
      <c r="B424" s="297" t="s">
        <v>4909</v>
      </c>
      <c r="C424" s="305">
        <v>1</v>
      </c>
      <c r="D424" s="297" t="s">
        <v>4128</v>
      </c>
      <c r="E424" s="297" t="str">
        <f t="shared" si="18"/>
        <v>Bête</v>
      </c>
      <c r="F424" s="297" t="str">
        <f>VLOOKUP(E424,'Types de monstres'!$A$2:$B$17,2,FALSE)</f>
        <v>BEAST</v>
      </c>
      <c r="G424" s="297" t="str">
        <f t="shared" si="19"/>
        <v/>
      </c>
      <c r="H424" s="297" t="str">
        <f>IF(OR(G424="",G424="toute race"),"",VLOOKUP(G424,'Types de monstres'!$F$2:$G$49,2,FALSE))</f>
        <v/>
      </c>
      <c r="I424" s="297" t="s">
        <v>4112</v>
      </c>
      <c r="J424" s="302">
        <v>12</v>
      </c>
      <c r="K424" s="302">
        <v>45</v>
      </c>
      <c r="L424" s="297"/>
      <c r="M424" s="297" t="s">
        <v>4130</v>
      </c>
      <c r="N424" s="297" t="str">
        <f>IF(M424="sans alignement","",IF(M424="tout alignement", """1_LB"", ""2_NB"", ""3_CB"", ""4_LN"", ""5_NN"", ""6_CN"", ""7_LM"", ""8_NM"", ""9_CM""",IF(M424="tout alignement non bon", """4_LN"", ""5_NN"", ""6_CN"", ""7_LM"", ""8_NM"", ""9_CM""",IF(M424="tout alignement mauvais", """7_LM"", ""8_NM"", ""9_CM""",IF(M424="tout alignement chaotique", """3_CB"", ""6_CN"", ""9_CM""",IF(M424="tout alignement non loyal", """2_NB"", ""3_CB"", ""5_NN"", ""6_CN"", ""8_NM"", ""9_CM""",""""&amp;VLOOKUP(M424,Alignements!$A$2:$B$10,2, FALSE)&amp;""""))))))</f>
        <v/>
      </c>
      <c r="O424" s="297"/>
      <c r="P424" t="str">
        <f t="shared" si="20"/>
        <v>"Hyène géante": {
  "Name" : "Hyène géante",
  "VO" : "Giant Hyena",
  "Family" : "BEAST",
  "Species" : [""],
  "FP" : "1", 
  "Size" : "G",
  "AC" : 12,
  "HP" : 45, 
  "Speed" : "",
  "Alignments" : [],
  "Legendary" : ""}</v>
      </c>
    </row>
    <row r="425" spans="1:16">
      <c r="A425" s="61" t="s">
        <v>4910</v>
      </c>
      <c r="B425" s="298" t="s">
        <v>4911</v>
      </c>
      <c r="C425" s="306">
        <v>3</v>
      </c>
      <c r="D425" s="298" t="s">
        <v>4108</v>
      </c>
      <c r="E425" s="297" t="str">
        <f t="shared" si="18"/>
        <v>Humanoïde</v>
      </c>
      <c r="F425" s="297" t="str">
        <f>VLOOKUP(E425,'Types de monstres'!$A$2:$B$17,2,FALSE)</f>
        <v>HUMANOID</v>
      </c>
      <c r="G425" s="297" t="str">
        <f t="shared" si="19"/>
        <v>toute race</v>
      </c>
      <c r="H425" s="297" t="str">
        <f>IF(OR(G425="",G425="toute race"),"",VLOOKUP(G425,'Types de monstres'!$F$2:$G$49,2,FALSE))</f>
        <v/>
      </c>
      <c r="I425" s="298" t="s">
        <v>4091</v>
      </c>
      <c r="J425" s="300">
        <v>12</v>
      </c>
      <c r="K425" s="300">
        <v>38</v>
      </c>
      <c r="L425" s="298"/>
      <c r="M425" s="298" t="s">
        <v>4109</v>
      </c>
      <c r="N425" s="297" t="str">
        <f>IF(M425="sans alignement","",IF(M425="tout alignement", """1_LB"", ""2_NB"", ""3_CB"", ""4_LN"", ""5_NN"", ""6_CN"", ""7_LM"", ""8_NM"", ""9_CM""",IF(M425="tout alignement non bon", """4_LN"", ""5_NN"", ""6_CN"", ""7_LM"", ""8_NM"", ""9_CM""",IF(M425="tout alignement mauvais", """7_LM"", ""8_NM"", ""9_CM""",IF(M425="tout alignement chaotique", """3_CB"", ""6_CN"", ""9_CM""",IF(M425="tout alignement non loyal", """2_NB"", ""3_CB"", ""5_NN"", ""6_CN"", ""8_NM"", ""9_CM""",""""&amp;VLOOKUP(M425,Alignements!$A$2:$B$10,2, FALSE)&amp;""""))))))</f>
        <v>"1_LB", "2_NB", "3_CB", "4_LN", "5_NN", "6_CN", "7_LM", "8_NM", "9_CM"</v>
      </c>
      <c r="O425" s="298"/>
      <c r="P425" t="str">
        <f t="shared" si="20"/>
        <v>"Illusionniste": {
  "Name" : "Illusionniste",
  "VO" : "Illusionist",
  "Family" : "HUMANOID",
  "Species" : [""],
  "FP" : "3", 
  "Size" : "M",
  "AC" : 12,
  "HP" : 38, 
  "Speed" : "",
  "Alignments" : ["1_LB", "2_NB", "3_CB", "4_LN", "5_NN", "6_CN", "7_LM", "8_NM", "9_CM"],
  "Legendary" : ""}</v>
      </c>
    </row>
    <row r="426" spans="1:16">
      <c r="A426" s="301" t="s">
        <v>4912</v>
      </c>
      <c r="B426" s="297" t="s">
        <v>4913</v>
      </c>
      <c r="C426" s="305">
        <v>2</v>
      </c>
      <c r="D426" s="297" t="s">
        <v>4242</v>
      </c>
      <c r="E426" s="297" t="str">
        <f t="shared" si="18"/>
        <v>Humanoïde</v>
      </c>
      <c r="F426" s="297" t="str">
        <f>VLOOKUP(E426,'Types de monstres'!$A$2:$B$17,2,FALSE)</f>
        <v>HUMANOID</v>
      </c>
      <c r="G426" s="297" t="str">
        <f t="shared" si="19"/>
        <v>humain</v>
      </c>
      <c r="H426" s="297" t="str">
        <f>IF(OR(G426="",G426="toute race"),"",VLOOKUP(G426,'Types de monstres'!$F$2:$G$49,2,FALSE))</f>
        <v>HUMAN</v>
      </c>
      <c r="I426" s="297" t="s">
        <v>4091</v>
      </c>
      <c r="J426" s="302">
        <v>12</v>
      </c>
      <c r="K426" s="302">
        <v>40</v>
      </c>
      <c r="L426" s="297"/>
      <c r="M426" s="297" t="s">
        <v>4097</v>
      </c>
      <c r="N426" s="297" t="str">
        <f>IF(M426="sans alignement","",IF(M426="tout alignement", """1_LB"", ""2_NB"", ""3_CB"", ""4_LN"", ""5_NN"", ""6_CN"", ""7_LM"", ""8_NM"", ""9_CM""",IF(M426="tout alignement non bon", """4_LN"", ""5_NN"", ""6_CN"", ""7_LM"", ""8_NM"", ""9_CM""",IF(M426="tout alignement mauvais", """7_LM"", ""8_NM"", ""9_CM""",IF(M426="tout alignement chaotique", """3_CB"", ""6_CN"", ""9_CM""",IF(M426="tout alignement non loyal", """2_NB"", ""3_CB"", ""5_NN"", ""6_CN"", ""8_NM"", ""9_CM""",""""&amp;VLOOKUP(M426,Alignements!$A$2:$B$10,2, FALSE)&amp;""""))))))</f>
        <v>"7_LM"</v>
      </c>
      <c r="O426" s="297"/>
      <c r="P426" t="str">
        <f t="shared" si="20"/>
        <v>"Inspiré": {
  "Name" : "Inspiré",
  "VO" : "Inspired",
  "Family" : "HUMANOID",
  "Species" : ["HUMAN"],
  "FP" : "2", 
  "Size" : "M",
  "AC" : 12,
  "HP" : 40, 
  "Speed" : "",
  "Alignments" : ["7_LM"],
  "Legendary" : ""}</v>
      </c>
    </row>
    <row r="427" spans="1:16">
      <c r="A427" s="61" t="s">
        <v>4914</v>
      </c>
      <c r="B427" s="298" t="s">
        <v>4915</v>
      </c>
      <c r="C427" s="306">
        <v>6</v>
      </c>
      <c r="D427" s="298" t="s">
        <v>4108</v>
      </c>
      <c r="E427" s="297" t="str">
        <f t="shared" si="18"/>
        <v>Humanoïde</v>
      </c>
      <c r="F427" s="297" t="str">
        <f>VLOOKUP(E427,'Types de monstres'!$A$2:$B$17,2,FALSE)</f>
        <v>HUMANOID</v>
      </c>
      <c r="G427" s="297" t="str">
        <f t="shared" si="19"/>
        <v>toute race</v>
      </c>
      <c r="H427" s="297" t="str">
        <f>IF(OR(G427="",G427="toute race"),"",VLOOKUP(G427,'Types de monstres'!$F$2:$G$49,2,FALSE))</f>
        <v/>
      </c>
      <c r="I427" s="298" t="s">
        <v>4091</v>
      </c>
      <c r="J427" s="300">
        <v>12</v>
      </c>
      <c r="K427" s="300">
        <v>40</v>
      </c>
      <c r="L427" s="298"/>
      <c r="M427" s="298" t="s">
        <v>4109</v>
      </c>
      <c r="N427" s="297" t="str">
        <f>IF(M427="sans alignement","",IF(M427="tout alignement", """1_LB"", ""2_NB"", ""3_CB"", ""4_LN"", ""5_NN"", ""6_CN"", ""7_LM"", ""8_NM"", ""9_CM""",IF(M427="tout alignement non bon", """4_LN"", ""5_NN"", ""6_CN"", ""7_LM"", ""8_NM"", ""9_CM""",IF(M427="tout alignement mauvais", """7_LM"", ""8_NM"", ""9_CM""",IF(M427="tout alignement chaotique", """3_CB"", ""6_CN"", ""9_CM""",IF(M427="tout alignement non loyal", """2_NB"", ""3_CB"", ""5_NN"", ""6_CN"", ""8_NM"", ""9_CM""",""""&amp;VLOOKUP(M427,Alignements!$A$2:$B$10,2, FALSE)&amp;""""))))))</f>
        <v>"1_LB", "2_NB", "3_CB", "4_LN", "5_NN", "6_CN", "7_LM", "8_NM", "9_CM"</v>
      </c>
      <c r="O427" s="298"/>
      <c r="P427" t="str">
        <f t="shared" si="20"/>
        <v>"Invocateur": {
  "Name" : "Invocateur",
  "VO" : "Conjurer",
  "Family" : "HUMANOID",
  "Species" : [""],
  "FP" : "6", 
  "Size" : "M",
  "AC" : 12,
  "HP" : 40, 
  "Speed" : "",
  "Alignments" : ["1_LB", "2_NB", "3_CB", "4_LN", "5_NN", "6_CN", "7_LM", "8_NM", "9_CM"],
  "Legendary" : ""}</v>
      </c>
    </row>
    <row r="428" spans="1:16">
      <c r="A428" s="301" t="s">
        <v>4916</v>
      </c>
      <c r="B428" s="297" t="s">
        <v>4916</v>
      </c>
      <c r="C428" s="305">
        <v>15</v>
      </c>
      <c r="D428" s="297" t="s">
        <v>4541</v>
      </c>
      <c r="E428" s="297" t="str">
        <f t="shared" si="18"/>
        <v>Humanoïde</v>
      </c>
      <c r="F428" s="297" t="str">
        <f>VLOOKUP(E428,'Types de monstres'!$A$2:$B$17,2,FALSE)</f>
        <v>HUMANOID</v>
      </c>
      <c r="G428" s="297" t="str">
        <f t="shared" si="19"/>
        <v>elfe</v>
      </c>
      <c r="H428" s="297" t="str">
        <f>IF(OR(G428="",G428="toute race"),"",VLOOKUP(G428,'Types de monstres'!$F$2:$G$49,2,FALSE))</f>
        <v>ELF</v>
      </c>
      <c r="I428" s="297" t="s">
        <v>4091</v>
      </c>
      <c r="J428" s="302">
        <v>24</v>
      </c>
      <c r="K428" s="302">
        <v>123</v>
      </c>
      <c r="L428" s="297"/>
      <c r="M428" s="297" t="s">
        <v>4243</v>
      </c>
      <c r="N428" s="297" t="str">
        <f>IF(M428="sans alignement","",IF(M428="tout alignement", """1_LB"", ""2_NB"", ""3_CB"", ""4_LN"", ""5_NN"", ""6_CN"", ""7_LM"", ""8_NM"", ""9_CM""",IF(M428="tout alignement non bon", """4_LN"", ""5_NN"", ""6_CN"", ""7_LM"", ""8_NM"", ""9_CM""",IF(M428="tout alignement mauvais", """7_LM"", ""8_NM"", ""9_CM""",IF(M428="tout alignement chaotique", """3_CB"", ""6_CN"", ""9_CM""",IF(M428="tout alignement non loyal", """2_NB"", ""3_CB"", ""5_NN"", ""6_CN"", ""8_NM"", ""9_CM""",""""&amp;VLOOKUP(M428,Alignements!$A$2:$B$10,2, FALSE)&amp;""""))))))</f>
        <v>"6_CN"</v>
      </c>
      <c r="O428" s="297"/>
      <c r="P428" t="str">
        <f t="shared" si="20"/>
        <v>"Jarlaxle Baenre": {
  "Name" : "Jarlaxle Baenre",
  "VO" : "Jarlaxle Baenre",
  "Family" : "HUMANOID",
  "Species" : ["ELF"],
  "FP" : "15", 
  "Size" : "M",
  "AC" : 24,
  "HP" : 123, 
  "Speed" : "",
  "Alignments" : ["6_CN"],
  "Legendary" : ""}</v>
      </c>
    </row>
    <row r="429" spans="1:16">
      <c r="A429" s="299" t="s">
        <v>4917</v>
      </c>
      <c r="B429" s="298" t="s">
        <v>4917</v>
      </c>
      <c r="C429" s="306">
        <v>23</v>
      </c>
      <c r="D429" s="298" t="s">
        <v>4136</v>
      </c>
      <c r="E429" s="297" t="str">
        <f t="shared" si="18"/>
        <v>Fiélon</v>
      </c>
      <c r="F429" s="297" t="str">
        <f>VLOOKUP(E429,'Types de monstres'!$A$2:$B$17,2,FALSE)</f>
        <v>FIEND</v>
      </c>
      <c r="G429" s="297" t="str">
        <f t="shared" si="19"/>
        <v>démon</v>
      </c>
      <c r="H429" s="297" t="str">
        <f>IF(OR(G429="",G429="toute race"),"",VLOOKUP(G429,'Types de monstres'!$F$2:$G$49,2,FALSE))</f>
        <v>DAEMON</v>
      </c>
      <c r="I429" s="298" t="s">
        <v>4149</v>
      </c>
      <c r="J429" s="300">
        <v>18</v>
      </c>
      <c r="K429" s="300">
        <v>350</v>
      </c>
      <c r="L429" s="298"/>
      <c r="M429" s="298" t="s">
        <v>4137</v>
      </c>
      <c r="N429" s="297" t="str">
        <f>IF(M429="sans alignement","",IF(M429="tout alignement", """1_LB"", ""2_NB"", ""3_CB"", ""4_LN"", ""5_NN"", ""6_CN"", ""7_LM"", ""8_NM"", ""9_CM""",IF(M429="tout alignement non bon", """4_LN"", ""5_NN"", ""6_CN"", ""7_LM"", ""8_NM"", ""9_CM""",IF(M429="tout alignement mauvais", """7_LM"", ""8_NM"", ""9_CM""",IF(M429="tout alignement chaotique", """3_CB"", ""6_CN"", ""9_CM""",IF(M429="tout alignement non loyal", """2_NB"", ""3_CB"", ""5_NN"", ""6_CN"", ""8_NM"", ""9_CM""",""""&amp;VLOOKUP(M429,Alignements!$A$2:$B$10,2, FALSE)&amp;""""))))))</f>
        <v>"9_CM"</v>
      </c>
      <c r="O429" s="298"/>
      <c r="P429" t="str">
        <f t="shared" si="20"/>
        <v>"Juiblex": {
  "Name" : "Juiblex",
  "VO" : "Juiblex",
  "Family" : "FIEND",
  "Species" : ["DAEMON"],
  "FP" : "23", 
  "Size" : "TG",
  "AC" : 18,
  "HP" : 350, 
  "Speed" : "",
  "Alignments" : ["9_CM"],
  "Legendary" : ""}</v>
      </c>
    </row>
    <row r="430" spans="1:16">
      <c r="A430" s="301" t="s">
        <v>4918</v>
      </c>
      <c r="B430" s="297" t="s">
        <v>4918</v>
      </c>
      <c r="C430" s="305" t="s">
        <v>5618</v>
      </c>
      <c r="D430" s="297" t="s">
        <v>4919</v>
      </c>
      <c r="E430" s="297" t="str">
        <f t="shared" si="18"/>
        <v>Humanoïde</v>
      </c>
      <c r="F430" s="297" t="str">
        <f>VLOOKUP(E430,'Types de monstres'!$A$2:$B$17,2,FALSE)</f>
        <v>HUMANOID</v>
      </c>
      <c r="G430" s="297" t="str">
        <f t="shared" si="19"/>
        <v>kalashtar</v>
      </c>
      <c r="H430" s="297" t="str">
        <f>IF(OR(G430="",G430="toute race"),"",VLOOKUP(G430,'Types de monstres'!$F$2:$G$49,2,FALSE))</f>
        <v>KALASHTAR</v>
      </c>
      <c r="I430" s="297" t="s">
        <v>4091</v>
      </c>
      <c r="J430" s="302">
        <v>12</v>
      </c>
      <c r="K430" s="302">
        <v>16</v>
      </c>
      <c r="L430" s="297"/>
      <c r="M430" s="297" t="s">
        <v>4109</v>
      </c>
      <c r="N430" s="297" t="str">
        <f>IF(M430="sans alignement","",IF(M430="tout alignement", """1_LB"", ""2_NB"", ""3_CB"", ""4_LN"", ""5_NN"", ""6_CN"", ""7_LM"", ""8_NM"", ""9_CM""",IF(M430="tout alignement non bon", """4_LN"", ""5_NN"", ""6_CN"", ""7_LM"", ""8_NM"", ""9_CM""",IF(M430="tout alignement mauvais", """7_LM"", ""8_NM"", ""9_CM""",IF(M430="tout alignement chaotique", """3_CB"", ""6_CN"", ""9_CM""",IF(M430="tout alignement non loyal", """2_NB"", ""3_CB"", ""5_NN"", ""6_CN"", ""8_NM"", ""9_CM""",""""&amp;VLOOKUP(M430,Alignements!$A$2:$B$10,2, FALSE)&amp;""""))))))</f>
        <v>"1_LB", "2_NB", "3_CB", "4_LN", "5_NN", "6_CN", "7_LM", "8_NM", "9_CM"</v>
      </c>
      <c r="O430" s="297"/>
      <c r="P430" t="str">
        <f t="shared" si="20"/>
        <v>"Kalashtar": {
  "Name" : "Kalashtar",
  "VO" : "Kalashtar",
  "Family" : "HUMANOID",
  "Species" : ["KALASHTAR"],
  "FP" : "1/4", 
  "Size" : "M",
  "AC" : 12,
  "HP" : 16, 
  "Speed" : "",
  "Alignments" : ["1_LB", "2_NB", "3_CB", "4_LN", "5_NN", "6_CN", "7_LM", "8_NM", "9_CM"],
  "Legendary" : ""}</v>
      </c>
    </row>
    <row r="431" spans="1:16">
      <c r="A431" s="61" t="s">
        <v>4920</v>
      </c>
      <c r="B431" s="298" t="s">
        <v>4920</v>
      </c>
      <c r="C431" s="306" t="s">
        <v>5618</v>
      </c>
      <c r="D431" s="298" t="s">
        <v>4921</v>
      </c>
      <c r="E431" s="297" t="str">
        <f t="shared" si="18"/>
        <v>Humanoïde</v>
      </c>
      <c r="F431" s="297" t="str">
        <f>VLOOKUP(E431,'Types de monstres'!$A$2:$B$17,2,FALSE)</f>
        <v>HUMANOID</v>
      </c>
      <c r="G431" s="297" t="str">
        <f t="shared" si="19"/>
        <v>kenku</v>
      </c>
      <c r="H431" s="297" t="str">
        <f>IF(OR(G431="",G431="toute race"),"",VLOOKUP(G431,'Types de monstres'!$F$2:$G$49,2,FALSE))</f>
        <v>KENKU</v>
      </c>
      <c r="I431" s="298" t="s">
        <v>4091</v>
      </c>
      <c r="J431" s="300">
        <v>13</v>
      </c>
      <c r="K431" s="300">
        <v>13</v>
      </c>
      <c r="L431" s="298"/>
      <c r="M431" s="298" t="s">
        <v>4243</v>
      </c>
      <c r="N431" s="297" t="str">
        <f>IF(M431="sans alignement","",IF(M431="tout alignement", """1_LB"", ""2_NB"", ""3_CB"", ""4_LN"", ""5_NN"", ""6_CN"", ""7_LM"", ""8_NM"", ""9_CM""",IF(M431="tout alignement non bon", """4_LN"", ""5_NN"", ""6_CN"", ""7_LM"", ""8_NM"", ""9_CM""",IF(M431="tout alignement mauvais", """7_LM"", ""8_NM"", ""9_CM""",IF(M431="tout alignement chaotique", """3_CB"", ""6_CN"", ""9_CM""",IF(M431="tout alignement non loyal", """2_NB"", ""3_CB"", ""5_NN"", ""6_CN"", ""8_NM"", ""9_CM""",""""&amp;VLOOKUP(M431,Alignements!$A$2:$B$10,2, FALSE)&amp;""""))))))</f>
        <v>"6_CN"</v>
      </c>
      <c r="O431" s="298"/>
      <c r="P431" t="str">
        <f t="shared" si="20"/>
        <v>"Kenku": {
  "Name" : "Kenku",
  "VO" : "Kenku",
  "Family" : "HUMANOID",
  "Species" : ["KENKU"],
  "FP" : "1/4", 
  "Size" : "M",
  "AC" : 13,
  "HP" : 13, 
  "Speed" : "",
  "Alignments" : ["6_CN"],
  "Legendary" : ""}</v>
      </c>
    </row>
    <row r="432" spans="1:16">
      <c r="A432" s="61" t="s">
        <v>4922</v>
      </c>
      <c r="B432" s="297" t="s">
        <v>4922</v>
      </c>
      <c r="C432" s="305">
        <v>12</v>
      </c>
      <c r="D432" s="297" t="s">
        <v>2598</v>
      </c>
      <c r="E432" s="297" t="str">
        <f t="shared" si="18"/>
        <v>Céleste</v>
      </c>
      <c r="F432" s="297" t="str">
        <f>VLOOKUP(E432,'Types de monstres'!$A$2:$B$17,2,FALSE)</f>
        <v>CELESTIAL</v>
      </c>
      <c r="G432" s="297" t="str">
        <f t="shared" si="19"/>
        <v/>
      </c>
      <c r="H432" s="297" t="str">
        <f>IF(OR(G432="",G432="toute race"),"",VLOOKUP(G432,'Types de monstres'!$F$2:$G$49,2,FALSE))</f>
        <v/>
      </c>
      <c r="I432" s="297" t="s">
        <v>4149</v>
      </c>
      <c r="J432" s="302">
        <v>20</v>
      </c>
      <c r="K432" s="302">
        <v>152</v>
      </c>
      <c r="L432" s="297" t="s">
        <v>4092</v>
      </c>
      <c r="M432" s="297" t="s">
        <v>4318</v>
      </c>
      <c r="N432" s="297" t="str">
        <f>IF(M432="sans alignement","",IF(M432="tout alignement", """1_LB"", ""2_NB"", ""3_CB"", ""4_LN"", ""5_NN"", ""6_CN"", ""7_LM"", ""8_NM"", ""9_CM""",IF(M432="tout alignement non bon", """4_LN"", ""5_NN"", ""6_CN"", ""7_LM"", ""8_NM"", ""9_CM""",IF(M432="tout alignement mauvais", """7_LM"", ""8_NM"", ""9_CM""",IF(M432="tout alignement chaotique", """3_CB"", ""6_CN"", ""9_CM""",IF(M432="tout alignement non loyal", """2_NB"", ""3_CB"", ""5_NN"", ""6_CN"", ""8_NM"", ""9_CM""",""""&amp;VLOOKUP(M432,Alignements!$A$2:$B$10,2, FALSE)&amp;""""))))))</f>
        <v>"1_LB"</v>
      </c>
      <c r="O432" s="297" t="s">
        <v>4114</v>
      </c>
      <c r="P432" t="str">
        <f t="shared" si="20"/>
        <v>"Ki-rin": {
  "Name" : "Ki-rin",
  "VO" : "Ki-rin",
  "Family" : "CELESTIAL",
  "Species" : [""],
  "FP" : "12", 
  "Size" : "TG",
  "AC" : 20,
  "HP" : 152, 
  "Speed" : "vol",
  "Alignments" : ["1_LB"],
  "Legendary" : "Légendaire"}</v>
      </c>
    </row>
    <row r="433" spans="1:16">
      <c r="A433" s="61" t="s">
        <v>4923</v>
      </c>
      <c r="B433" s="298" t="s">
        <v>4923</v>
      </c>
      <c r="C433" s="306" t="s">
        <v>5619</v>
      </c>
      <c r="D433" s="298" t="s">
        <v>4924</v>
      </c>
      <c r="E433" s="297" t="str">
        <f t="shared" si="18"/>
        <v>Humanoïde</v>
      </c>
      <c r="F433" s="297" t="str">
        <f>VLOOKUP(E433,'Types de monstres'!$A$2:$B$17,2,FALSE)</f>
        <v>HUMANOID</v>
      </c>
      <c r="G433" s="297" t="str">
        <f t="shared" si="19"/>
        <v>kobold</v>
      </c>
      <c r="H433" s="297" t="str">
        <f>IF(OR(G433="",G433="toute race"),"",VLOOKUP(G433,'Types de monstres'!$F$2:$G$49,2,FALSE))</f>
        <v>KEBOLD</v>
      </c>
      <c r="I433" s="298" t="s">
        <v>4129</v>
      </c>
      <c r="J433" s="300">
        <v>12</v>
      </c>
      <c r="K433" s="300">
        <v>5</v>
      </c>
      <c r="L433" s="298"/>
      <c r="M433" s="298" t="s">
        <v>4097</v>
      </c>
      <c r="N433" s="297" t="str">
        <f>IF(M433="sans alignement","",IF(M433="tout alignement", """1_LB"", ""2_NB"", ""3_CB"", ""4_LN"", ""5_NN"", ""6_CN"", ""7_LM"", ""8_NM"", ""9_CM""",IF(M433="tout alignement non bon", """4_LN"", ""5_NN"", ""6_CN"", ""7_LM"", ""8_NM"", ""9_CM""",IF(M433="tout alignement mauvais", """7_LM"", ""8_NM"", ""9_CM""",IF(M433="tout alignement chaotique", """3_CB"", ""6_CN"", ""9_CM""",IF(M433="tout alignement non loyal", """2_NB"", ""3_CB"", ""5_NN"", ""6_CN"", ""8_NM"", ""9_CM""",""""&amp;VLOOKUP(M433,Alignements!$A$2:$B$10,2, FALSE)&amp;""""))))))</f>
        <v>"7_LM"</v>
      </c>
      <c r="O433" s="298"/>
      <c r="P433" t="str">
        <f t="shared" si="20"/>
        <v>"Kobold": {
  "Name" : "Kobold",
  "VO" : "Kobold",
  "Family" : "HUMANOID",
  "Species" : ["KEBOLD"],
  "FP" : "1/8", 
  "Size" : "P",
  "AC" : 12,
  "HP" : 5, 
  "Speed" : "",
  "Alignments" : ["7_LM"],
  "Legendary" : ""}</v>
      </c>
    </row>
    <row r="434" spans="1:16">
      <c r="A434" s="61" t="s">
        <v>4925</v>
      </c>
      <c r="B434" s="297" t="s">
        <v>4926</v>
      </c>
      <c r="C434" s="305" t="s">
        <v>5618</v>
      </c>
      <c r="D434" s="297" t="s">
        <v>4924</v>
      </c>
      <c r="E434" s="297" t="str">
        <f t="shared" si="18"/>
        <v>Humanoïde</v>
      </c>
      <c r="F434" s="297" t="str">
        <f>VLOOKUP(E434,'Types de monstres'!$A$2:$B$17,2,FALSE)</f>
        <v>HUMANOID</v>
      </c>
      <c r="G434" s="297" t="str">
        <f t="shared" si="19"/>
        <v>kobold</v>
      </c>
      <c r="H434" s="297" t="str">
        <f>IF(OR(G434="",G434="toute race"),"",VLOOKUP(G434,'Types de monstres'!$F$2:$G$49,2,FALSE))</f>
        <v>KEBOLD</v>
      </c>
      <c r="I434" s="297" t="s">
        <v>4129</v>
      </c>
      <c r="J434" s="302">
        <v>13</v>
      </c>
      <c r="K434" s="302">
        <v>7</v>
      </c>
      <c r="L434" s="297" t="s">
        <v>4092</v>
      </c>
      <c r="M434" s="297" t="s">
        <v>4097</v>
      </c>
      <c r="N434" s="297" t="str">
        <f>IF(M434="sans alignement","",IF(M434="tout alignement", """1_LB"", ""2_NB"", ""3_CB"", ""4_LN"", ""5_NN"", ""6_CN"", ""7_LM"", ""8_NM"", ""9_CM""",IF(M434="tout alignement non bon", """4_LN"", ""5_NN"", ""6_CN"", ""7_LM"", ""8_NM"", ""9_CM""",IF(M434="tout alignement mauvais", """7_LM"", ""8_NM"", ""9_CM""",IF(M434="tout alignement chaotique", """3_CB"", ""6_CN"", ""9_CM""",IF(M434="tout alignement non loyal", """2_NB"", ""3_CB"", ""5_NN"", ""6_CN"", ""8_NM"", ""9_CM""",""""&amp;VLOOKUP(M434,Alignements!$A$2:$B$10,2, FALSE)&amp;""""))))))</f>
        <v>"7_LM"</v>
      </c>
      <c r="O434" s="297"/>
      <c r="P434" t="str">
        <f t="shared" si="20"/>
        <v>"Kobold ailé": {
  "Name" : "Kobold ailé",
  "VO" : "Winged Kobold",
  "Family" : "HUMANOID",
  "Species" : ["KEBOLD"],
  "FP" : "1/4", 
  "Size" : "P",
  "AC" : 13,
  "HP" : 7, 
  "Speed" : "vol",
  "Alignments" : ["7_LM"],
  "Legendary" : ""}</v>
      </c>
    </row>
    <row r="435" spans="1:16" ht="21">
      <c r="A435" s="299" t="s">
        <v>4927</v>
      </c>
      <c r="B435" s="298" t="s">
        <v>4928</v>
      </c>
      <c r="C435" s="306">
        <v>1</v>
      </c>
      <c r="D435" s="298" t="s">
        <v>4924</v>
      </c>
      <c r="E435" s="297" t="str">
        <f t="shared" si="18"/>
        <v>Humanoïde</v>
      </c>
      <c r="F435" s="297" t="str">
        <f>VLOOKUP(E435,'Types de monstres'!$A$2:$B$17,2,FALSE)</f>
        <v>HUMANOID</v>
      </c>
      <c r="G435" s="297" t="str">
        <f t="shared" si="19"/>
        <v>kobold</v>
      </c>
      <c r="H435" s="297" t="str">
        <f>IF(OR(G435="",G435="toute race"),"",VLOOKUP(G435,'Types de monstres'!$F$2:$G$49,2,FALSE))</f>
        <v>KEBOLD</v>
      </c>
      <c r="I435" s="298" t="s">
        <v>4129</v>
      </c>
      <c r="J435" s="300">
        <v>15</v>
      </c>
      <c r="K435" s="300">
        <v>44</v>
      </c>
      <c r="L435" s="298"/>
      <c r="M435" s="298" t="s">
        <v>4097</v>
      </c>
      <c r="N435" s="297" t="str">
        <f>IF(M435="sans alignement","",IF(M435="tout alignement", """1_LB"", ""2_NB"", ""3_CB"", ""4_LN"", ""5_NN"", ""6_CN"", ""7_LM"", ""8_NM"", ""9_CM""",IF(M435="tout alignement non bon", """4_LN"", ""5_NN"", ""6_CN"", ""7_LM"", ""8_NM"", ""9_CM""",IF(M435="tout alignement mauvais", """7_LM"", ""8_NM"", ""9_CM""",IF(M435="tout alignement chaotique", """3_CB"", ""6_CN"", ""9_CM""",IF(M435="tout alignement non loyal", """2_NB"", ""3_CB"", ""5_NN"", ""6_CN"", ""8_NM"", ""9_CM""",""""&amp;VLOOKUP(M435,Alignements!$A$2:$B$10,2, FALSE)&amp;""""))))))</f>
        <v>"7_LM"</v>
      </c>
      <c r="O435" s="298"/>
      <c r="P435" t="str">
        <f t="shared" si="20"/>
        <v>"Kobold, bouclier de dragon": {
  "Name" : "Kobold, bouclier de dragon",
  "VO" : "Kobold Dragonshield",
  "Family" : "HUMANOID",
  "Species" : ["KEBOLD"],
  "FP" : "1", 
  "Size" : "P",
  "AC" : 15,
  "HP" : 44, 
  "Speed" : "",
  "Alignments" : ["7_LM"],
  "Legendary" : ""}</v>
      </c>
    </row>
    <row r="436" spans="1:16" ht="21">
      <c r="A436" s="301" t="s">
        <v>4929</v>
      </c>
      <c r="B436" s="297" t="s">
        <v>4930</v>
      </c>
      <c r="C436" s="305">
        <v>1</v>
      </c>
      <c r="D436" s="297" t="s">
        <v>4924</v>
      </c>
      <c r="E436" s="297" t="str">
        <f t="shared" si="18"/>
        <v>Humanoïde</v>
      </c>
      <c r="F436" s="297" t="str">
        <f>VLOOKUP(E436,'Types de monstres'!$A$2:$B$17,2,FALSE)</f>
        <v>HUMANOID</v>
      </c>
      <c r="G436" s="297" t="str">
        <f t="shared" si="19"/>
        <v>kobold</v>
      </c>
      <c r="H436" s="297" t="str">
        <f>IF(OR(G436="",G436="toute race"),"",VLOOKUP(G436,'Types de monstres'!$F$2:$G$49,2,FALSE))</f>
        <v>KEBOLD</v>
      </c>
      <c r="I436" s="297" t="s">
        <v>4129</v>
      </c>
      <c r="J436" s="302">
        <v>15</v>
      </c>
      <c r="K436" s="302">
        <v>27</v>
      </c>
      <c r="L436" s="297"/>
      <c r="M436" s="297" t="s">
        <v>4097</v>
      </c>
      <c r="N436" s="297" t="str">
        <f>IF(M436="sans alignement","",IF(M436="tout alignement", """1_LB"", ""2_NB"", ""3_CB"", ""4_LN"", ""5_NN"", ""6_CN"", ""7_LM"", ""8_NM"", ""9_CM""",IF(M436="tout alignement non bon", """4_LN"", ""5_NN"", ""6_CN"", ""7_LM"", ""8_NM"", ""9_CM""",IF(M436="tout alignement mauvais", """7_LM"", ""8_NM"", ""9_CM""",IF(M436="tout alignement chaotique", """3_CB"", ""6_CN"", ""9_CM""",IF(M436="tout alignement non loyal", """2_NB"", ""3_CB"", ""5_NN"", ""6_CN"", ""8_NM"", ""9_CM""",""""&amp;VLOOKUP(M436,Alignements!$A$2:$B$10,2, FALSE)&amp;""""))))))</f>
        <v>"7_LM"</v>
      </c>
      <c r="O436" s="297"/>
      <c r="P436" t="str">
        <f t="shared" si="20"/>
        <v>"Kobold, ensorceleur des écailles": {
  "Name" : "Kobold, ensorceleur des écailles",
  "VO" : "Kobold Scale Sorcerer",
  "Family" : "HUMANOID",
  "Species" : ["KEBOLD"],
  "FP" : "1", 
  "Size" : "P",
  "AC" : 15,
  "HP" : 27, 
  "Speed" : "",
  "Alignments" : ["7_LM"],
  "Legendary" : ""}</v>
      </c>
    </row>
    <row r="437" spans="1:16">
      <c r="A437" s="61" t="s">
        <v>4931</v>
      </c>
      <c r="B437" s="298" t="s">
        <v>4932</v>
      </c>
      <c r="C437" s="306" t="s">
        <v>5618</v>
      </c>
      <c r="D437" s="298" t="s">
        <v>4924</v>
      </c>
      <c r="E437" s="297" t="str">
        <f t="shared" si="18"/>
        <v>Humanoïde</v>
      </c>
      <c r="F437" s="297" t="str">
        <f>VLOOKUP(E437,'Types de monstres'!$A$2:$B$17,2,FALSE)</f>
        <v>HUMANOID</v>
      </c>
      <c r="G437" s="297" t="str">
        <f t="shared" si="19"/>
        <v>kobold</v>
      </c>
      <c r="H437" s="297" t="str">
        <f>IF(OR(G437="",G437="toute race"),"",VLOOKUP(G437,'Types de monstres'!$F$2:$G$49,2,FALSE))</f>
        <v>KEBOLD</v>
      </c>
      <c r="I437" s="298" t="s">
        <v>4129</v>
      </c>
      <c r="J437" s="300">
        <v>12</v>
      </c>
      <c r="K437" s="300">
        <v>13</v>
      </c>
      <c r="L437" s="298"/>
      <c r="M437" s="298" t="s">
        <v>4097</v>
      </c>
      <c r="N437" s="297" t="str">
        <f>IF(M437="sans alignement","",IF(M437="tout alignement", """1_LB"", ""2_NB"", ""3_CB"", ""4_LN"", ""5_NN"", ""6_CN"", ""7_LM"", ""8_NM"", ""9_CM""",IF(M437="tout alignement non bon", """4_LN"", ""5_NN"", ""6_CN"", ""7_LM"", ""8_NM"", ""9_CM""",IF(M437="tout alignement mauvais", """7_LM"", ""8_NM"", ""9_CM""",IF(M437="tout alignement chaotique", """3_CB"", ""6_CN"", ""9_CM""",IF(M437="tout alignement non loyal", """2_NB"", ""3_CB"", ""5_NN"", ""6_CN"", ""8_NM"", ""9_CM""",""""&amp;VLOOKUP(M437,Alignements!$A$2:$B$10,2, FALSE)&amp;""""))))))</f>
        <v>"7_LM"</v>
      </c>
      <c r="O437" s="298"/>
      <c r="P437" t="str">
        <f t="shared" si="20"/>
        <v>"Kobold, inventeur": {
  "Name" : "Kobold, inventeur",
  "VO" : "Kobold Inventor",
  "Family" : "HUMANOID",
  "Species" : ["KEBOLD"],
  "FP" : "1/4", 
  "Size" : "P",
  "AC" : 12,
  "HP" : 13, 
  "Speed" : "",
  "Alignments" : ["7_LM"],
  "Legendary" : ""}</v>
      </c>
    </row>
    <row r="438" spans="1:16">
      <c r="A438" s="301" t="s">
        <v>4933</v>
      </c>
      <c r="B438" s="297" t="s">
        <v>4933</v>
      </c>
      <c r="C438" s="305">
        <v>7</v>
      </c>
      <c r="D438" s="297" t="s">
        <v>4253</v>
      </c>
      <c r="E438" s="297" t="str">
        <f t="shared" si="18"/>
        <v>Fée</v>
      </c>
      <c r="F438" s="297" t="str">
        <f>VLOOKUP(E438,'Types de monstres'!$A$2:$B$17,2,FALSE)</f>
        <v>FAIRY</v>
      </c>
      <c r="G438" s="297" t="str">
        <f t="shared" si="19"/>
        <v/>
      </c>
      <c r="H438" s="297" t="str">
        <f>IF(OR(G438="",G438="toute race"),"",VLOOKUP(G438,'Types de monstres'!$F$2:$G$49,2,FALSE))</f>
        <v/>
      </c>
      <c r="I438" s="297" t="s">
        <v>4129</v>
      </c>
      <c r="J438" s="302">
        <v>17</v>
      </c>
      <c r="K438" s="302">
        <v>102</v>
      </c>
      <c r="L438" s="297"/>
      <c r="M438" s="297" t="s">
        <v>4243</v>
      </c>
      <c r="N438" s="297" t="str">
        <f>IF(M438="sans alignement","",IF(M438="tout alignement", """1_LB"", ""2_NB"", ""3_CB"", ""4_LN"", ""5_NN"", ""6_CN"", ""7_LM"", ""8_NM"", ""9_CM""",IF(M438="tout alignement non bon", """4_LN"", ""5_NN"", ""6_CN"", ""7_LM"", ""8_NM"", ""9_CM""",IF(M438="tout alignement mauvais", """7_LM"", ""8_NM"", ""9_CM""",IF(M438="tout alignement chaotique", """3_CB"", ""6_CN"", ""9_CM""",IF(M438="tout alignement non loyal", """2_NB"", ""3_CB"", ""5_NN"", ""6_CN"", ""8_NM"", ""9_CM""",""""&amp;VLOOKUP(M438,Alignements!$A$2:$B$10,2, FALSE)&amp;""""))))))</f>
        <v>"6_CN"</v>
      </c>
      <c r="O438" s="297"/>
      <c r="P438" t="str">
        <f t="shared" si="20"/>
        <v>"Korred": {
  "Name" : "Korred",
  "VO" : "Korred",
  "Family" : "FAIRY",
  "Species" : [""],
  "FP" : "7", 
  "Size" : "P",
  "AC" : 17,
  "HP" : 102, 
  "Speed" : "",
  "Alignments" : ["6_CN"],
  "Legendary" : ""}</v>
      </c>
    </row>
    <row r="439" spans="1:16" ht="21">
      <c r="A439" s="61" t="s">
        <v>4934</v>
      </c>
      <c r="B439" s="298" t="s">
        <v>4934</v>
      </c>
      <c r="C439" s="306">
        <v>23</v>
      </c>
      <c r="D439" s="298" t="s">
        <v>4379</v>
      </c>
      <c r="E439" s="297" t="str">
        <f t="shared" si="18"/>
        <v>Créature monstrueuse</v>
      </c>
      <c r="F439" s="297" t="str">
        <f>VLOOKUP(E439,'Types de monstres'!$A$2:$B$17,2,FALSE)</f>
        <v>MONSTROUS_CREATURE</v>
      </c>
      <c r="G439" s="297" t="str">
        <f t="shared" si="19"/>
        <v>titan</v>
      </c>
      <c r="H439" s="297" t="str">
        <f>IF(OR(G439="",G439="toute race"),"",VLOOKUP(G439,'Types de monstres'!$F$2:$G$49,2,FALSE))</f>
        <v>TITAN</v>
      </c>
      <c r="I439" s="298" t="s">
        <v>4371</v>
      </c>
      <c r="J439" s="300">
        <v>18</v>
      </c>
      <c r="K439" s="300">
        <v>472</v>
      </c>
      <c r="L439" s="298" t="s">
        <v>4113</v>
      </c>
      <c r="M439" s="298" t="s">
        <v>4137</v>
      </c>
      <c r="N439" s="297" t="str">
        <f>IF(M439="sans alignement","",IF(M439="tout alignement", """1_LB"", ""2_NB"", ""3_CB"", ""4_LN"", ""5_NN"", ""6_CN"", ""7_LM"", ""8_NM"", ""9_CM""",IF(M439="tout alignement non bon", """4_LN"", ""5_NN"", ""6_CN"", ""7_LM"", ""8_NM"", ""9_CM""",IF(M439="tout alignement mauvais", """7_LM"", ""8_NM"", ""9_CM""",IF(M439="tout alignement chaotique", """3_CB"", ""6_CN"", ""9_CM""",IF(M439="tout alignement non loyal", """2_NB"", ""3_CB"", ""5_NN"", ""6_CN"", ""8_NM"", ""9_CM""",""""&amp;VLOOKUP(M439,Alignements!$A$2:$B$10,2, FALSE)&amp;""""))))))</f>
        <v>"9_CM"</v>
      </c>
      <c r="O439" s="298" t="s">
        <v>4114</v>
      </c>
      <c r="P439" t="str">
        <f t="shared" si="20"/>
        <v>"Kraken": {
  "Name" : "Kraken",
  "VO" : "Kraken",
  "Family" : "MONSTROUS_CREATURE",
  "Species" : ["TITAN"],
  "FP" : "23", 
  "Size" : "Gig",
  "AC" : 18,
  "HP" : 472, 
  "Speed" : "nage",
  "Alignments" : ["9_CM"],
  "Legendary" : "Légendaire"}</v>
      </c>
    </row>
    <row r="440" spans="1:16">
      <c r="A440" s="301" t="s">
        <v>4935</v>
      </c>
      <c r="B440" s="297" t="s">
        <v>4936</v>
      </c>
      <c r="C440" s="305">
        <v>2</v>
      </c>
      <c r="D440" s="297" t="s">
        <v>4121</v>
      </c>
      <c r="E440" s="297" t="str">
        <f t="shared" si="18"/>
        <v>Créature monstrueuse</v>
      </c>
      <c r="F440" s="297" t="str">
        <f>VLOOKUP(E440,'Types de monstres'!$A$2:$B$17,2,FALSE)</f>
        <v>MONSTROUS_CREATURE</v>
      </c>
      <c r="G440" s="297" t="str">
        <f t="shared" si="19"/>
        <v/>
      </c>
      <c r="H440" s="297" t="str">
        <f>IF(OR(G440="",G440="toute race"),"",VLOOKUP(G440,'Types de monstres'!$F$2:$G$49,2,FALSE))</f>
        <v/>
      </c>
      <c r="I440" s="297" t="s">
        <v>4091</v>
      </c>
      <c r="J440" s="302">
        <v>18</v>
      </c>
      <c r="K440" s="302">
        <v>39</v>
      </c>
      <c r="L440" s="297"/>
      <c r="M440" s="297" t="s">
        <v>4130</v>
      </c>
      <c r="N440" s="297" t="str">
        <f>IF(M440="sans alignement","",IF(M440="tout alignement", """1_LB"", ""2_NB"", ""3_CB"", ""4_LN"", ""5_NN"", ""6_CN"", ""7_LM"", ""8_NM"", ""9_CM""",IF(M440="tout alignement non bon", """4_LN"", ""5_NN"", ""6_CN"", ""7_LM"", ""8_NM"", ""9_CM""",IF(M440="tout alignement mauvais", """7_LM"", ""8_NM"", ""9_CM""",IF(M440="tout alignement chaotique", """3_CB"", ""6_CN"", ""9_CM""",IF(M440="tout alignement non loyal", """2_NB"", ""3_CB"", ""5_NN"", ""6_CN"", ""8_NM"", ""9_CM""",""""&amp;VLOOKUP(M440,Alignements!$A$2:$B$10,2, FALSE)&amp;""""))))))</f>
        <v/>
      </c>
      <c r="O440" s="297"/>
      <c r="P440" t="str">
        <f t="shared" si="20"/>
        <v>"Kruthik, adulte": {
  "Name" : "Kruthik, adulte",
  "VO" : "Adult Kruthik",
  "Family" : "MONSTROUS_CREATURE",
  "Species" : [""],
  "FP" : "2", 
  "Size" : "M",
  "AC" : 18,
  "HP" : 39, 
  "Speed" : "",
  "Alignments" : [],
  "Legendary" : ""}</v>
      </c>
    </row>
    <row r="441" spans="1:16">
      <c r="A441" s="299" t="s">
        <v>4937</v>
      </c>
      <c r="B441" s="298" t="s">
        <v>4938</v>
      </c>
      <c r="C441" s="306" t="s">
        <v>5619</v>
      </c>
      <c r="D441" s="298" t="s">
        <v>4121</v>
      </c>
      <c r="E441" s="297" t="str">
        <f t="shared" si="18"/>
        <v>Créature monstrueuse</v>
      </c>
      <c r="F441" s="297" t="str">
        <f>VLOOKUP(E441,'Types de monstres'!$A$2:$B$17,2,FALSE)</f>
        <v>MONSTROUS_CREATURE</v>
      </c>
      <c r="G441" s="297" t="str">
        <f t="shared" si="19"/>
        <v/>
      </c>
      <c r="H441" s="297" t="str">
        <f>IF(OR(G441="",G441="toute race"),"",VLOOKUP(G441,'Types de monstres'!$F$2:$G$49,2,FALSE))</f>
        <v/>
      </c>
      <c r="I441" s="298" t="s">
        <v>4129</v>
      </c>
      <c r="J441" s="300">
        <v>16</v>
      </c>
      <c r="K441" s="300">
        <v>9</v>
      </c>
      <c r="L441" s="298"/>
      <c r="M441" s="298" t="s">
        <v>4130</v>
      </c>
      <c r="N441" s="297" t="str">
        <f>IF(M441="sans alignement","",IF(M441="tout alignement", """1_LB"", ""2_NB"", ""3_CB"", ""4_LN"", ""5_NN"", ""6_CN"", ""7_LM"", ""8_NM"", ""9_CM""",IF(M441="tout alignement non bon", """4_LN"", ""5_NN"", ""6_CN"", ""7_LM"", ""8_NM"", ""9_CM""",IF(M441="tout alignement mauvais", """7_LM"", ""8_NM"", ""9_CM""",IF(M441="tout alignement chaotique", """3_CB"", ""6_CN"", ""9_CM""",IF(M441="tout alignement non loyal", """2_NB"", ""3_CB"", ""5_NN"", ""6_CN"", ""8_NM"", ""9_CM""",""""&amp;VLOOKUP(M441,Alignements!$A$2:$B$10,2, FALSE)&amp;""""))))))</f>
        <v/>
      </c>
      <c r="O441" s="298"/>
      <c r="P441" t="str">
        <f t="shared" si="20"/>
        <v>"Kruthik, jeune": {
  "Name" : "Kruthik, jeune",
  "VO" : "Young Kruthik",
  "Family" : "MONSTROUS_CREATURE",
  "Species" : [""],
  "FP" : "1/8", 
  "Size" : "P",
  "AC" : 16,
  "HP" : 9, 
  "Speed" : "",
  "Alignments" : [],
  "Legendary" : ""}</v>
      </c>
    </row>
    <row r="442" spans="1:16" ht="21">
      <c r="A442" s="301" t="s">
        <v>4939</v>
      </c>
      <c r="B442" s="297" t="s">
        <v>4940</v>
      </c>
      <c r="C442" s="305">
        <v>5</v>
      </c>
      <c r="D442" s="297" t="s">
        <v>4121</v>
      </c>
      <c r="E442" s="297" t="str">
        <f t="shared" si="18"/>
        <v>Créature monstrueuse</v>
      </c>
      <c r="F442" s="297" t="str">
        <f>VLOOKUP(E442,'Types de monstres'!$A$2:$B$17,2,FALSE)</f>
        <v>MONSTROUS_CREATURE</v>
      </c>
      <c r="G442" s="297" t="str">
        <f t="shared" si="19"/>
        <v/>
      </c>
      <c r="H442" s="297" t="str">
        <f>IF(OR(G442="",G442="toute race"),"",VLOOKUP(G442,'Types de monstres'!$F$2:$G$49,2,FALSE))</f>
        <v/>
      </c>
      <c r="I442" s="297" t="s">
        <v>4112</v>
      </c>
      <c r="J442" s="302">
        <v>20</v>
      </c>
      <c r="K442" s="302">
        <v>102</v>
      </c>
      <c r="L442" s="297"/>
      <c r="M442" s="297" t="s">
        <v>4130</v>
      </c>
      <c r="N442" s="297" t="str">
        <f>IF(M442="sans alignement","",IF(M442="tout alignement", """1_LB"", ""2_NB"", ""3_CB"", ""4_LN"", ""5_NN"", ""6_CN"", ""7_LM"", ""8_NM"", ""9_CM""",IF(M442="tout alignement non bon", """4_LN"", ""5_NN"", ""6_CN"", ""7_LM"", ""8_NM"", ""9_CM""",IF(M442="tout alignement mauvais", """7_LM"", ""8_NM"", ""9_CM""",IF(M442="tout alignement chaotique", """3_CB"", ""6_CN"", ""9_CM""",IF(M442="tout alignement non loyal", """2_NB"", ""3_CB"", ""5_NN"", ""6_CN"", ""8_NM"", ""9_CM""",""""&amp;VLOOKUP(M442,Alignements!$A$2:$B$10,2, FALSE)&amp;""""))))))</f>
        <v/>
      </c>
      <c r="O442" s="297"/>
      <c r="P442" t="str">
        <f t="shared" si="20"/>
        <v>"Kruthik, seigneur de la ruche": {
  "Name" : "Kruthik, seigneur de la ruche",
  "VO" : "Kruthik Hive Lord",
  "Family" : "MONSTROUS_CREATURE",
  "Species" : [""],
  "FP" : "5", 
  "Size" : "G",
  "AC" : 20,
  "HP" : 102, 
  "Speed" : "",
  "Alignments" : [],
  "Legendary" : ""}</v>
      </c>
    </row>
    <row r="443" spans="1:16">
      <c r="A443" s="61" t="s">
        <v>4941</v>
      </c>
      <c r="B443" s="298" t="s">
        <v>4941</v>
      </c>
      <c r="C443" s="306" t="s">
        <v>5618</v>
      </c>
      <c r="D443" s="298" t="s">
        <v>4942</v>
      </c>
      <c r="E443" s="297" t="str">
        <f t="shared" si="18"/>
        <v>Humanoïde</v>
      </c>
      <c r="F443" s="297" t="str">
        <f>VLOOKUP(E443,'Types de monstres'!$A$2:$B$17,2,FALSE)</f>
        <v>HUMANOID</v>
      </c>
      <c r="G443" s="297" t="str">
        <f t="shared" si="19"/>
        <v>kuo-toa</v>
      </c>
      <c r="H443" s="297" t="str">
        <f>IF(OR(G443="",G443="toute race"),"",VLOOKUP(G443,'Types de monstres'!$F$2:$G$49,2,FALSE))</f>
        <v>Kuo-toa</v>
      </c>
      <c r="I443" s="298" t="s">
        <v>4091</v>
      </c>
      <c r="J443" s="300">
        <v>13</v>
      </c>
      <c r="K443" s="300">
        <v>18</v>
      </c>
      <c r="L443" s="298" t="s">
        <v>4113</v>
      </c>
      <c r="M443" s="298" t="s">
        <v>4118</v>
      </c>
      <c r="N443" s="297" t="str">
        <f>IF(M443="sans alignement","",IF(M443="tout alignement", """1_LB"", ""2_NB"", ""3_CB"", ""4_LN"", ""5_NN"", ""6_CN"", ""7_LM"", ""8_NM"", ""9_CM""",IF(M443="tout alignement non bon", """4_LN"", ""5_NN"", ""6_CN"", ""7_LM"", ""8_NM"", ""9_CM""",IF(M443="tout alignement mauvais", """7_LM"", ""8_NM"", ""9_CM""",IF(M443="tout alignement chaotique", """3_CB"", ""6_CN"", ""9_CM""",IF(M443="tout alignement non loyal", """2_NB"", ""3_CB"", ""5_NN"", ""6_CN"", ""8_NM"", ""9_CM""",""""&amp;VLOOKUP(M443,Alignements!$A$2:$B$10,2, FALSE)&amp;""""))))))</f>
        <v>"8_NM"</v>
      </c>
      <c r="O443" s="298"/>
      <c r="P443" t="str">
        <f t="shared" si="20"/>
        <v>"Kuo-toa": {
  "Name" : "Kuo-toa",
  "VO" : "Kuo-toa",
  "Family" : "HUMANOID",
  "Species" : ["Kuo-toa"],
  "FP" : "1/4", 
  "Size" : "M",
  "AC" : 13,
  "HP" : 18, 
  "Speed" : "nage",
  "Alignments" : ["8_NM"],
  "Legendary" : ""}</v>
      </c>
    </row>
    <row r="444" spans="1:16">
      <c r="A444" s="61" t="s">
        <v>4943</v>
      </c>
      <c r="B444" s="297" t="s">
        <v>4944</v>
      </c>
      <c r="C444" s="305">
        <v>6</v>
      </c>
      <c r="D444" s="297" t="s">
        <v>4942</v>
      </c>
      <c r="E444" s="297" t="str">
        <f t="shared" si="18"/>
        <v>Humanoïde</v>
      </c>
      <c r="F444" s="297" t="str">
        <f>VLOOKUP(E444,'Types de monstres'!$A$2:$B$17,2,FALSE)</f>
        <v>HUMANOID</v>
      </c>
      <c r="G444" s="297" t="str">
        <f t="shared" si="19"/>
        <v>kuo-toa</v>
      </c>
      <c r="H444" s="297" t="str">
        <f>IF(OR(G444="",G444="toute race"),"",VLOOKUP(G444,'Types de monstres'!$F$2:$G$49,2,FALSE))</f>
        <v>Kuo-toa</v>
      </c>
      <c r="I444" s="297" t="s">
        <v>4091</v>
      </c>
      <c r="J444" s="302">
        <v>13</v>
      </c>
      <c r="K444" s="302">
        <v>97</v>
      </c>
      <c r="L444" s="297" t="s">
        <v>4113</v>
      </c>
      <c r="M444" s="297" t="s">
        <v>4118</v>
      </c>
      <c r="N444" s="297" t="str">
        <f>IF(M444="sans alignement","",IF(M444="tout alignement", """1_LB"", ""2_NB"", ""3_CB"", ""4_LN"", ""5_NN"", ""6_CN"", ""7_LM"", ""8_NM"", ""9_CM""",IF(M444="tout alignement non bon", """4_LN"", ""5_NN"", ""6_CN"", ""7_LM"", ""8_NM"", ""9_CM""",IF(M444="tout alignement mauvais", """7_LM"", ""8_NM"", ""9_CM""",IF(M444="tout alignement chaotique", """3_CB"", ""6_CN"", ""9_CM""",IF(M444="tout alignement non loyal", """2_NB"", ""3_CB"", ""5_NN"", ""6_CN"", ""8_NM"", ""9_CM""",""""&amp;VLOOKUP(M444,Alignements!$A$2:$B$10,2, FALSE)&amp;""""))))))</f>
        <v>"8_NM"</v>
      </c>
      <c r="O444" s="297"/>
      <c r="P444" t="str">
        <f t="shared" si="20"/>
        <v>"Kuo-toa, archiprêtre": {
  "Name" : "Kuo-toa, archiprêtre",
  "VO" : "Kuo-toa Archpriest",
  "Family" : "HUMANOID",
  "Species" : ["Kuo-toa"],
  "FP" : "6", 
  "Size" : "M",
  "AC" : 13,
  "HP" : 97, 
  "Speed" : "nage",
  "Alignments" : ["8_NM"],
  "Legendary" : ""}</v>
      </c>
    </row>
    <row r="445" spans="1:16">
      <c r="A445" s="61" t="s">
        <v>4945</v>
      </c>
      <c r="B445" s="298" t="s">
        <v>4946</v>
      </c>
      <c r="C445" s="306">
        <v>1</v>
      </c>
      <c r="D445" s="298" t="s">
        <v>4942</v>
      </c>
      <c r="E445" s="297" t="str">
        <f t="shared" si="18"/>
        <v>Humanoïde</v>
      </c>
      <c r="F445" s="297" t="str">
        <f>VLOOKUP(E445,'Types de monstres'!$A$2:$B$17,2,FALSE)</f>
        <v>HUMANOID</v>
      </c>
      <c r="G445" s="297" t="str">
        <f t="shared" si="19"/>
        <v>kuo-toa</v>
      </c>
      <c r="H445" s="297" t="str">
        <f>IF(OR(G445="",G445="toute race"),"",VLOOKUP(G445,'Types de monstres'!$F$2:$G$49,2,FALSE))</f>
        <v>Kuo-toa</v>
      </c>
      <c r="I445" s="298" t="s">
        <v>4091</v>
      </c>
      <c r="J445" s="300">
        <v>11</v>
      </c>
      <c r="K445" s="300">
        <v>65</v>
      </c>
      <c r="L445" s="298" t="s">
        <v>4113</v>
      </c>
      <c r="M445" s="298" t="s">
        <v>4118</v>
      </c>
      <c r="N445" s="297" t="str">
        <f>IF(M445="sans alignement","",IF(M445="tout alignement", """1_LB"", ""2_NB"", ""3_CB"", ""4_LN"", ""5_NN"", ""6_CN"", ""7_LM"", ""8_NM"", ""9_CM""",IF(M445="tout alignement non bon", """4_LN"", ""5_NN"", ""6_CN"", ""7_LM"", ""8_NM"", ""9_CM""",IF(M445="tout alignement mauvais", """7_LM"", ""8_NM"", ""9_CM""",IF(M445="tout alignement chaotique", """3_CB"", ""6_CN"", ""9_CM""",IF(M445="tout alignement non loyal", """2_NB"", ""3_CB"", ""5_NN"", ""6_CN"", ""8_NM"", ""9_CM""",""""&amp;VLOOKUP(M445,Alignements!$A$2:$B$10,2, FALSE)&amp;""""))))))</f>
        <v>"8_NM"</v>
      </c>
      <c r="O445" s="298"/>
      <c r="P445" t="str">
        <f t="shared" si="20"/>
        <v>"Kuo-toa, fouet": {
  "Name" : "Kuo-toa, fouet",
  "VO" : "Kuo-toa Whip",
  "Family" : "HUMANOID",
  "Species" : ["Kuo-toa"],
  "FP" : "1", 
  "Size" : "M",
  "AC" : 11,
  "HP" : 65, 
  "Speed" : "nage",
  "Alignments" : ["8_NM"],
  "Legendary" : ""}</v>
      </c>
    </row>
    <row r="446" spans="1:16">
      <c r="A446" s="301" t="s">
        <v>4947</v>
      </c>
      <c r="B446" s="297" t="s">
        <v>4948</v>
      </c>
      <c r="C446" s="305">
        <v>7</v>
      </c>
      <c r="D446" s="297" t="s">
        <v>4121</v>
      </c>
      <c r="E446" s="297" t="str">
        <f t="shared" si="18"/>
        <v>Créature monstrueuse</v>
      </c>
      <c r="F446" s="297" t="str">
        <f>VLOOKUP(E446,'Types de monstres'!$A$2:$B$17,2,FALSE)</f>
        <v>MONSTROUS_CREATURE</v>
      </c>
      <c r="G446" s="297" t="str">
        <f t="shared" si="19"/>
        <v/>
      </c>
      <c r="H446" s="297" t="str">
        <f>IF(OR(G446="",G446="toute race"),"",VLOOKUP(G446,'Types de monstres'!$F$2:$G$49,2,FALSE))</f>
        <v/>
      </c>
      <c r="I446" s="297" t="s">
        <v>4091</v>
      </c>
      <c r="J446" s="302">
        <v>15</v>
      </c>
      <c r="K446" s="302">
        <v>78</v>
      </c>
      <c r="L446" s="297"/>
      <c r="M446" s="297" t="s">
        <v>4118</v>
      </c>
      <c r="N446" s="297" t="str">
        <f>IF(M446="sans alignement","",IF(M446="tout alignement", """1_LB"", ""2_NB"", ""3_CB"", ""4_LN"", ""5_NN"", ""6_CN"", ""7_LM"", ""8_NM"", ""9_CM""",IF(M446="tout alignement non bon", """4_LN"", ""5_NN"", ""6_CN"", ""7_LM"", ""8_NM"", ""9_CM""",IF(M446="tout alignement mauvais", """7_LM"", ""8_NM"", ""9_CM""",IF(M446="tout alignement chaotique", """3_CB"", ""6_CN"", ""9_CM""",IF(M446="tout alignement non loyal", """2_NB"", ""3_CB"", ""5_NN"", ""6_CN"", ""8_NM"", ""9_CM""",""""&amp;VLOOKUP(M446,Alignements!$A$2:$B$10,2, FALSE)&amp;""""))))))</f>
        <v>"8_NM"</v>
      </c>
      <c r="O446" s="297"/>
      <c r="P446" t="str">
        <f t="shared" si="20"/>
        <v>"L'abandon": {
  "Name" : "L'abandon",
  "VO" : "The Lost",
  "Family" : "MONSTROUS_CREATURE",
  "Species" : [""],
  "FP" : "7", 
  "Size" : "M",
  "AC" : 15,
  "HP" : 78, 
  "Speed" : "",
  "Alignments" : ["8_NM"],
  "Legendary" : ""}</v>
      </c>
    </row>
    <row r="447" spans="1:16">
      <c r="A447" s="299" t="s">
        <v>4949</v>
      </c>
      <c r="B447" s="298" t="s">
        <v>4950</v>
      </c>
      <c r="C447" s="306">
        <v>13</v>
      </c>
      <c r="D447" s="298" t="s">
        <v>4121</v>
      </c>
      <c r="E447" s="297" t="str">
        <f t="shared" si="18"/>
        <v>Créature monstrueuse</v>
      </c>
      <c r="F447" s="297" t="str">
        <f>VLOOKUP(E447,'Types de monstres'!$A$2:$B$17,2,FALSE)</f>
        <v>MONSTROUS_CREATURE</v>
      </c>
      <c r="G447" s="297" t="str">
        <f t="shared" si="19"/>
        <v/>
      </c>
      <c r="H447" s="297" t="str">
        <f>IF(OR(G447="",G447="toute race"),"",VLOOKUP(G447,'Types de monstres'!$F$2:$G$49,2,FALSE))</f>
        <v/>
      </c>
      <c r="I447" s="298" t="s">
        <v>4091</v>
      </c>
      <c r="J447" s="300">
        <v>18</v>
      </c>
      <c r="K447" s="300">
        <v>255</v>
      </c>
      <c r="L447" s="298"/>
      <c r="M447" s="298" t="s">
        <v>4118</v>
      </c>
      <c r="N447" s="297" t="str">
        <f>IF(M447="sans alignement","",IF(M447="tout alignement", """1_LB"", ""2_NB"", ""3_CB"", ""4_LN"", ""5_NN"", ""6_CN"", ""7_LM"", ""8_NM"", ""9_CM""",IF(M447="tout alignement non bon", """4_LN"", ""5_NN"", ""6_CN"", ""7_LM"", ""8_NM"", ""9_CM""",IF(M447="tout alignement mauvais", """7_LM"", ""8_NM"", ""9_CM""",IF(M447="tout alignement chaotique", """3_CB"", ""6_CN"", ""9_CM""",IF(M447="tout alignement non loyal", """2_NB"", ""3_CB"", ""5_NN"", ""6_CN"", ""8_NM"", ""9_CM""",""""&amp;VLOOKUP(M447,Alignements!$A$2:$B$10,2, FALSE)&amp;""""))))))</f>
        <v>"8_NM"</v>
      </c>
      <c r="O447" s="298"/>
      <c r="P447" t="str">
        <f t="shared" si="20"/>
        <v>"La colère": {
  "Name" : "La colère",
  "VO" : "The Angry",
  "Family" : "MONSTROUS_CREATURE",
  "Species" : [""],
  "FP" : "13", 
  "Size" : "M",
  "AC" : 18,
  "HP" : 255, 
  "Speed" : "",
  "Alignments" : ["8_NM"],
  "Legendary" : ""}</v>
      </c>
    </row>
    <row r="448" spans="1:16">
      <c r="A448" s="301" t="s">
        <v>4951</v>
      </c>
      <c r="B448" s="297" t="s">
        <v>4952</v>
      </c>
      <c r="C448" s="305">
        <v>11</v>
      </c>
      <c r="D448" s="297" t="s">
        <v>4121</v>
      </c>
      <c r="E448" s="297" t="str">
        <f t="shared" si="18"/>
        <v>Créature monstrueuse</v>
      </c>
      <c r="F448" s="297" t="str">
        <f>VLOOKUP(E448,'Types de monstres'!$A$2:$B$17,2,FALSE)</f>
        <v>MONSTROUS_CREATURE</v>
      </c>
      <c r="G448" s="297" t="str">
        <f t="shared" si="19"/>
        <v/>
      </c>
      <c r="H448" s="297" t="str">
        <f>IF(OR(G448="",G448="toute race"),"",VLOOKUP(G448,'Types de monstres'!$F$2:$G$49,2,FALSE))</f>
        <v/>
      </c>
      <c r="I448" s="297" t="s">
        <v>4091</v>
      </c>
      <c r="J448" s="302">
        <v>17</v>
      </c>
      <c r="K448" s="302">
        <v>225</v>
      </c>
      <c r="L448" s="297"/>
      <c r="M448" s="297" t="s">
        <v>4118</v>
      </c>
      <c r="N448" s="297" t="str">
        <f>IF(M448="sans alignement","",IF(M448="tout alignement", """1_LB"", ""2_NB"", ""3_CB"", ""4_LN"", ""5_NN"", ""6_CN"", ""7_LM"", ""8_NM"", ""9_CM""",IF(M448="tout alignement non bon", """4_LN"", ""5_NN"", ""6_CN"", ""7_LM"", ""8_NM"", ""9_CM""",IF(M448="tout alignement mauvais", """7_LM"", ""8_NM"", ""9_CM""",IF(M448="tout alignement chaotique", """3_CB"", ""6_CN"", ""9_CM""",IF(M448="tout alignement non loyal", """2_NB"", ""3_CB"", ""5_NN"", ""6_CN"", ""8_NM"", ""9_CM""",""""&amp;VLOOKUP(M448,Alignements!$A$2:$B$10,2, FALSE)&amp;""""))))))</f>
        <v>"8_NM"</v>
      </c>
      <c r="O448" s="297"/>
      <c r="P448" t="str">
        <f t="shared" si="20"/>
        <v>"La faim": {
  "Name" : "La faim",
  "VO" : "The Hungry",
  "Family" : "MONSTROUS_CREATURE",
  "Species" : [""],
  "FP" : "11", 
  "Size" : "M",
  "AC" : 17,
  "HP" : 225, 
  "Speed" : "",
  "Alignments" : ["8_NM"],
  "Legendary" : ""}</v>
      </c>
    </row>
    <row r="449" spans="1:16">
      <c r="A449" s="299" t="s">
        <v>4953</v>
      </c>
      <c r="B449" s="298" t="s">
        <v>4954</v>
      </c>
      <c r="C449" s="306" t="s">
        <v>5618</v>
      </c>
      <c r="D449" s="298" t="s">
        <v>4121</v>
      </c>
      <c r="E449" s="297" t="str">
        <f t="shared" si="18"/>
        <v>Créature monstrueuse</v>
      </c>
      <c r="F449" s="297" t="str">
        <f>VLOOKUP(E449,'Types de monstres'!$A$2:$B$17,2,FALSE)</f>
        <v>MONSTROUS_CREATURE</v>
      </c>
      <c r="G449" s="297" t="str">
        <f t="shared" si="19"/>
        <v/>
      </c>
      <c r="H449" s="297" t="str">
        <f>IF(OR(G449="",G449="toute race"),"",VLOOKUP(G449,'Types de monstres'!$F$2:$G$49,2,FALSE))</f>
        <v/>
      </c>
      <c r="I449" s="298" t="s">
        <v>4129</v>
      </c>
      <c r="J449" s="300">
        <v>15</v>
      </c>
      <c r="K449" s="300">
        <v>10</v>
      </c>
      <c r="L449" s="298"/>
      <c r="M449" s="298" t="s">
        <v>4118</v>
      </c>
      <c r="N449" s="297" t="str">
        <f>IF(M449="sans alignement","",IF(M449="tout alignement", """1_LB"", ""2_NB"", ""3_CB"", ""4_LN"", ""5_NN"", ""6_CN"", ""7_LM"", ""8_NM"", ""9_CM""",IF(M449="tout alignement non bon", """4_LN"", ""5_NN"", ""6_CN"", ""7_LM"", ""8_NM"", ""9_CM""",IF(M449="tout alignement mauvais", """7_LM"", ""8_NM"", ""9_CM""",IF(M449="tout alignement chaotique", """3_CB"", ""6_CN"", ""9_CM""",IF(M449="tout alignement non loyal", """2_NB"", ""3_CB"", ""5_NN"", ""6_CN"", ""8_NM"", ""9_CM""",""""&amp;VLOOKUP(M449,Alignements!$A$2:$B$10,2, FALSE)&amp;""""))))))</f>
        <v>"8_NM"</v>
      </c>
      <c r="O449" s="298"/>
      <c r="P449" t="str">
        <f t="shared" si="20"/>
        <v>"La misère": {
  "Name" : "La misère",
  "VO" : "The Wretched",
  "Family" : "MONSTROUS_CREATURE",
  "Species" : [""],
  "FP" : "1/4", 
  "Size" : "P",
  "AC" : 15,
  "HP" : 10, 
  "Speed" : "",
  "Alignments" : ["8_NM"],
  "Legendary" : ""}</v>
      </c>
    </row>
    <row r="450" spans="1:16">
      <c r="A450" s="301" t="s">
        <v>4955</v>
      </c>
      <c r="B450" s="297" t="s">
        <v>4956</v>
      </c>
      <c r="C450" s="305">
        <v>9</v>
      </c>
      <c r="D450" s="297" t="s">
        <v>4121</v>
      </c>
      <c r="E450" s="297" t="str">
        <f t="shared" si="18"/>
        <v>Créature monstrueuse</v>
      </c>
      <c r="F450" s="297" t="str">
        <f>VLOOKUP(E450,'Types de monstres'!$A$2:$B$17,2,FALSE)</f>
        <v>MONSTROUS_CREATURE</v>
      </c>
      <c r="G450" s="297" t="str">
        <f t="shared" si="19"/>
        <v/>
      </c>
      <c r="H450" s="297" t="str">
        <f>IF(OR(G450="",G450="toute race"),"",VLOOKUP(G450,'Types de monstres'!$F$2:$G$49,2,FALSE))</f>
        <v/>
      </c>
      <c r="I450" s="297" t="s">
        <v>4091</v>
      </c>
      <c r="J450" s="302">
        <v>16</v>
      </c>
      <c r="K450" s="302">
        <v>112</v>
      </c>
      <c r="L450" s="297"/>
      <c r="M450" s="297" t="s">
        <v>4118</v>
      </c>
      <c r="N450" s="297" t="str">
        <f>IF(M450="sans alignement","",IF(M450="tout alignement", """1_LB"", ""2_NB"", ""3_CB"", ""4_LN"", ""5_NN"", ""6_CN"", ""7_LM"", ""8_NM"", ""9_CM""",IF(M450="tout alignement non bon", """4_LN"", ""5_NN"", ""6_CN"", ""7_LM"", ""8_NM"", ""9_CM""",IF(M450="tout alignement mauvais", """7_LM"", ""8_NM"", ""9_CM""",IF(M450="tout alignement chaotique", """3_CB"", ""6_CN"", ""9_CM""",IF(M450="tout alignement non loyal", """2_NB"", ""3_CB"", ""5_NN"", ""6_CN"", ""8_NM"", ""9_CM""",""""&amp;VLOOKUP(M450,Alignements!$A$2:$B$10,2, FALSE)&amp;""""))))))</f>
        <v>"8_NM"</v>
      </c>
      <c r="O450" s="297"/>
      <c r="P450" t="str">
        <f t="shared" si="20"/>
        <v>"La solitude": {
  "Name" : "La solitude",
  "VO" : "The Lonely",
  "Family" : "MONSTROUS_CREATURE",
  "Species" : [""],
  "FP" : "9", 
  "Size" : "M",
  "AC" : 16,
  "HP" : 112, 
  "Speed" : "",
  "Alignments" : ["8_NM"],
  "Legendary" : ""}</v>
      </c>
    </row>
    <row r="451" spans="1:16">
      <c r="A451" s="61" t="s">
        <v>4957</v>
      </c>
      <c r="B451" s="298" t="s">
        <v>4957</v>
      </c>
      <c r="C451" s="306">
        <v>17</v>
      </c>
      <c r="D451" s="298" t="s">
        <v>4242</v>
      </c>
      <c r="E451" s="297" t="str">
        <f t="shared" ref="E451:E514" si="21">IF(ISERROR( FIND("(",D451) ),D451,LEFT(D451, FIND("(",D451)-2))</f>
        <v>Humanoïde</v>
      </c>
      <c r="F451" s="297" t="str">
        <f>VLOOKUP(E451,'Types de monstres'!$A$2:$B$17,2,FALSE)</f>
        <v>HUMANOID</v>
      </c>
      <c r="G451" s="297" t="str">
        <f t="shared" ref="G451:G514" si="22">IF(ISERROR( FIND("(",D451) ),"",RIGHT(LEFT(D451,LEN(D451)-1), LEN(D451)-FIND("(",D451)-1))</f>
        <v>humain</v>
      </c>
      <c r="H451" s="297" t="str">
        <f>IF(OR(G451="",G451="toute race"),"",VLOOKUP(G451,'Types de monstres'!$F$2:$G$49,2,FALSE))</f>
        <v>HUMAN</v>
      </c>
      <c r="I451" s="298" t="s">
        <v>4091</v>
      </c>
      <c r="J451" s="300">
        <v>18</v>
      </c>
      <c r="K451" s="300">
        <v>228</v>
      </c>
      <c r="L451" s="298"/>
      <c r="M451" s="298" t="s">
        <v>4439</v>
      </c>
      <c r="N451" s="297" t="str">
        <f>IF(M451="sans alignement","",IF(M451="tout alignement", """1_LB"", ""2_NB"", ""3_CB"", ""4_LN"", ""5_NN"", ""6_CN"", ""7_LM"", ""8_NM"", ""9_CM""",IF(M451="tout alignement non bon", """4_LN"", ""5_NN"", ""6_CN"", ""7_LM"", ""8_NM"", ""9_CM""",IF(M451="tout alignement mauvais", """7_LM"", ""8_NM"", ""9_CM""",IF(M451="tout alignement chaotique", """3_CB"", ""6_CN"", ""9_CM""",IF(M451="tout alignement non loyal", """2_NB"", ""3_CB"", ""5_NN"", ""6_CN"", ""8_NM"", ""9_CM""",""""&amp;VLOOKUP(M451,Alignements!$A$2:$B$10,2, FALSE)&amp;""""))))))</f>
        <v>"3_CB"</v>
      </c>
      <c r="O451" s="298"/>
      <c r="P451" t="str">
        <f t="shared" ref="P451:P514" si="23">""""&amp;A451&amp;""": {
  ""Name"" : """&amp;A451&amp;""",
  ""VO"" : """&amp;B451&amp;""",
  ""Family"" : """&amp;F451&amp;""",
  ""Species"" : ["""&amp;SUBSTITUTE(H451,", ",""", """)&amp;"""],
  ""FP"" : """&amp;SUBSTITUTE(C451,"""","")&amp;""", 
  ""Size"" : """&amp;I451&amp;""",
  ""AC"" : "&amp;J451&amp;",
  ""HP"" : "&amp;K451&amp;", 
  ""Speed"" : """&amp;L451&amp;""",
  ""Alignments"" : ["&amp;N451&amp;"],
  ""Legendary"" : """&amp;O451&amp;"""}"</f>
        <v>"Laeral Silverhand": {
  "Name" : "Laeral Silverhand",
  "VO" : "Laeral Silverhand",
  "Family" : "HUMANOID",
  "Species" : ["HUMAN"],
  "FP" : "17", 
  "Size" : "M",
  "AC" : 18,
  "HP" : 228, 
  "Speed" : "",
  "Alignments" : ["3_CB"],
  "Legendary" : ""}</v>
      </c>
    </row>
    <row r="452" spans="1:16">
      <c r="A452" s="61" t="s">
        <v>4958</v>
      </c>
      <c r="B452" s="297" t="s">
        <v>4959</v>
      </c>
      <c r="C452" s="305" t="s">
        <v>5618</v>
      </c>
      <c r="D452" s="297" t="s">
        <v>4242</v>
      </c>
      <c r="E452" s="297" t="str">
        <f t="shared" si="21"/>
        <v>Humanoïde</v>
      </c>
      <c r="F452" s="297" t="str">
        <f>VLOOKUP(E452,'Types de monstres'!$A$2:$B$17,2,FALSE)</f>
        <v>HUMANOID</v>
      </c>
      <c r="G452" s="297" t="str">
        <f t="shared" si="22"/>
        <v>humain</v>
      </c>
      <c r="H452" s="297" t="str">
        <f>IF(OR(G452="",G452="toute race"),"",VLOOKUP(G452,'Types de monstres'!$F$2:$G$49,2,FALSE))</f>
        <v>HUMAN</v>
      </c>
      <c r="I452" s="297" t="s">
        <v>4091</v>
      </c>
      <c r="J452" s="302">
        <v>12</v>
      </c>
      <c r="K452" s="302">
        <v>11</v>
      </c>
      <c r="L452" s="297"/>
      <c r="M452" s="297" t="s">
        <v>4137</v>
      </c>
      <c r="N452" s="297" t="str">
        <f>IF(M452="sans alignement","",IF(M452="tout alignement", """1_LB"", ""2_NB"", ""3_CB"", ""4_LN"", ""5_NN"", ""6_CN"", ""7_LM"", ""8_NM"", ""9_CM""",IF(M452="tout alignement non bon", """4_LN"", ""5_NN"", ""6_CN"", ""7_LM"", ""8_NM"", ""9_CM""",IF(M452="tout alignement mauvais", """7_LM"", ""8_NM"", ""9_CM""",IF(M452="tout alignement chaotique", """3_CB"", ""6_CN"", ""9_CM""",IF(M452="tout alignement non loyal", """2_NB"", ""3_CB"", ""5_NN"", ""6_CN"", ""8_NM"", ""9_CM""",""""&amp;VLOOKUP(M452,Alignements!$A$2:$B$10,2, FALSE)&amp;""""))))))</f>
        <v>"9_CM"</v>
      </c>
      <c r="O452" s="297"/>
      <c r="P452" t="str">
        <f t="shared" si="23"/>
        <v>"Lame de nuit": {
  "Name" : "Lame de nuit",
  "VO" : "Night Blade",
  "Family" : "HUMANOID",
  "Species" : ["HUMAN"],
  "FP" : "1/4", 
  "Size" : "M",
  "AC" : 12,
  "HP" : 11, 
  "Speed" : "",
  "Alignments" : ["9_CM"],
  "Legendary" : ""}</v>
      </c>
    </row>
    <row r="453" spans="1:16" ht="21">
      <c r="A453" s="299" t="s">
        <v>4960</v>
      </c>
      <c r="B453" s="298" t="s">
        <v>4961</v>
      </c>
      <c r="C453" s="306">
        <v>8</v>
      </c>
      <c r="D453" s="298" t="s">
        <v>4117</v>
      </c>
      <c r="E453" s="297" t="str">
        <f t="shared" si="21"/>
        <v>Mort-vivant</v>
      </c>
      <c r="F453" s="297" t="str">
        <f>VLOOKUP(E453,'Types de monstres'!$A$2:$B$17,2,FALSE)</f>
        <v>UNDEAD</v>
      </c>
      <c r="G453" s="297" t="str">
        <f t="shared" si="22"/>
        <v/>
      </c>
      <c r="H453" s="297" t="str">
        <f>IF(OR(G453="",G453="toute race"),"",VLOOKUP(G453,'Types de monstres'!$F$2:$G$49,2,FALSE))</f>
        <v/>
      </c>
      <c r="I453" s="298" t="s">
        <v>4091</v>
      </c>
      <c r="J453" s="300">
        <v>18</v>
      </c>
      <c r="K453" s="300">
        <v>127</v>
      </c>
      <c r="L453" s="298"/>
      <c r="M453" s="298" t="s">
        <v>4097</v>
      </c>
      <c r="N453" s="297" t="str">
        <f>IF(M453="sans alignement","",IF(M453="tout alignement", """1_LB"", ""2_NB"", ""3_CB"", ""4_LN"", ""5_NN"", ""6_CN"", ""7_LM"", ""8_NM"", ""9_CM""",IF(M453="tout alignement non bon", """4_LN"", ""5_NN"", ""6_CN"", ""7_LM"", ""8_NM"", ""9_CM""",IF(M453="tout alignement mauvais", """7_LM"", ""8_NM"", ""9_CM""",IF(M453="tout alignement chaotique", """3_CB"", ""6_CN"", ""9_CM""",IF(M453="tout alignement non loyal", """2_NB"", ""3_CB"", ""5_NN"", ""6_CN"", ""8_NM"", ""9_CM""",""""&amp;VLOOKUP(M453,Alignements!$A$2:$B$10,2, FALSE)&amp;""""))))))</f>
        <v>"7_LM"</v>
      </c>
      <c r="O453" s="298"/>
      <c r="P453" t="str">
        <f t="shared" si="23"/>
        <v>"Lame en peine, commandant": {
  "Name" : "Lame en peine, commandant",
  "VO" : "Sword Wraith Commander",
  "Family" : "UNDEAD",
  "Species" : [""],
  "FP" : "8", 
  "Size" : "M",
  "AC" : 18,
  "HP" : 127, 
  "Speed" : "",
  "Alignments" : ["7_LM"],
  "Legendary" : ""}</v>
      </c>
    </row>
    <row r="454" spans="1:16" ht="21">
      <c r="A454" s="301" t="s">
        <v>4962</v>
      </c>
      <c r="B454" s="297" t="s">
        <v>4963</v>
      </c>
      <c r="C454" s="305">
        <v>3</v>
      </c>
      <c r="D454" s="297" t="s">
        <v>4117</v>
      </c>
      <c r="E454" s="297" t="str">
        <f t="shared" si="21"/>
        <v>Mort-vivant</v>
      </c>
      <c r="F454" s="297" t="str">
        <f>VLOOKUP(E454,'Types de monstres'!$A$2:$B$17,2,FALSE)</f>
        <v>UNDEAD</v>
      </c>
      <c r="G454" s="297" t="str">
        <f t="shared" si="22"/>
        <v/>
      </c>
      <c r="H454" s="297" t="str">
        <f>IF(OR(G454="",G454="toute race"),"",VLOOKUP(G454,'Types de monstres'!$F$2:$G$49,2,FALSE))</f>
        <v/>
      </c>
      <c r="I454" s="297" t="s">
        <v>4091</v>
      </c>
      <c r="J454" s="302">
        <v>16</v>
      </c>
      <c r="K454" s="302">
        <v>45</v>
      </c>
      <c r="L454" s="297"/>
      <c r="M454" s="297" t="s">
        <v>4097</v>
      </c>
      <c r="N454" s="297" t="str">
        <f>IF(M454="sans alignement","",IF(M454="tout alignement", """1_LB"", ""2_NB"", ""3_CB"", ""4_LN"", ""5_NN"", ""6_CN"", ""7_LM"", ""8_NM"", ""9_CM""",IF(M454="tout alignement non bon", """4_LN"", ""5_NN"", ""6_CN"", ""7_LM"", ""8_NM"", ""9_CM""",IF(M454="tout alignement mauvais", """7_LM"", ""8_NM"", ""9_CM""",IF(M454="tout alignement chaotique", """3_CB"", ""6_CN"", ""9_CM""",IF(M454="tout alignement non loyal", """2_NB"", ""3_CB"", ""5_NN"", ""6_CN"", ""8_NM"", ""9_CM""",""""&amp;VLOOKUP(M454,Alignements!$A$2:$B$10,2, FALSE)&amp;""""))))))</f>
        <v>"7_LM"</v>
      </c>
      <c r="O454" s="297"/>
      <c r="P454" t="str">
        <f t="shared" si="23"/>
        <v>"Lame en peine, guerrier": {
  "Name" : "Lame en peine, guerrier",
  "VO" : "Sword Wraith Warrior",
  "Family" : "UNDEAD",
  "Species" : [""],
  "FP" : "3", 
  "Size" : "M",
  "AC" : 16,
  "HP" : 45, 
  "Speed" : "",
  "Alignments" : ["7_LM"],
  "Legendary" : ""}</v>
      </c>
    </row>
    <row r="455" spans="1:16">
      <c r="A455" s="61" t="s">
        <v>4964</v>
      </c>
      <c r="B455" s="298" t="s">
        <v>4965</v>
      </c>
      <c r="C455" s="306">
        <v>4</v>
      </c>
      <c r="D455" s="298" t="s">
        <v>4121</v>
      </c>
      <c r="E455" s="297" t="str">
        <f t="shared" si="21"/>
        <v>Créature monstrueuse</v>
      </c>
      <c r="F455" s="297" t="str">
        <f>VLOOKUP(E455,'Types de monstres'!$A$2:$B$17,2,FALSE)</f>
        <v>MONSTROUS_CREATURE</v>
      </c>
      <c r="G455" s="297" t="str">
        <f t="shared" si="22"/>
        <v/>
      </c>
      <c r="H455" s="297" t="str">
        <f>IF(OR(G455="",G455="toute race"),"",VLOOKUP(G455,'Types de monstres'!$F$2:$G$49,2,FALSE))</f>
        <v/>
      </c>
      <c r="I455" s="298" t="s">
        <v>4112</v>
      </c>
      <c r="J455" s="300">
        <v>13</v>
      </c>
      <c r="K455" s="300">
        <v>97</v>
      </c>
      <c r="L455" s="298"/>
      <c r="M455" s="298" t="s">
        <v>4137</v>
      </c>
      <c r="N455" s="297" t="str">
        <f>IF(M455="sans alignement","",IF(M455="tout alignement", """1_LB"", ""2_NB"", ""3_CB"", ""4_LN"", ""5_NN"", ""6_CN"", ""7_LM"", ""8_NM"", ""9_CM""",IF(M455="tout alignement non bon", """4_LN"", ""5_NN"", ""6_CN"", ""7_LM"", ""8_NM"", ""9_CM""",IF(M455="tout alignement mauvais", """7_LM"", ""8_NM"", ""9_CM""",IF(M455="tout alignement chaotique", """3_CB"", ""6_CN"", ""9_CM""",IF(M455="tout alignement non loyal", """2_NB"", ""3_CB"", ""5_NN"", ""6_CN"", ""8_NM"", ""9_CM""",""""&amp;VLOOKUP(M455,Alignements!$A$2:$B$10,2, FALSE)&amp;""""))))))</f>
        <v>"9_CM"</v>
      </c>
      <c r="O455" s="298"/>
      <c r="P455" t="str">
        <f t="shared" si="23"/>
        <v>"Lamie": {
  "Name" : "Lamie",
  "VO" : "Lamia",
  "Family" : "MONSTROUS_CREATURE",
  "Species" : [""],
  "FP" : "4", 
  "Size" : "G",
  "AC" : 13,
  "HP" : 97, 
  "Speed" : "",
  "Alignments" : ["9_CM"],
  "Legendary" : ""}</v>
      </c>
    </row>
    <row r="456" spans="1:16" ht="21">
      <c r="A456" s="61" t="s">
        <v>4966</v>
      </c>
      <c r="B456" s="297" t="s">
        <v>4967</v>
      </c>
      <c r="C456" s="305">
        <v>0</v>
      </c>
      <c r="D456" s="297" t="s">
        <v>4108</v>
      </c>
      <c r="E456" s="297" t="str">
        <f t="shared" si="21"/>
        <v>Humanoïde</v>
      </c>
      <c r="F456" s="297" t="str">
        <f>VLOOKUP(E456,'Types de monstres'!$A$2:$B$17,2,FALSE)</f>
        <v>HUMANOID</v>
      </c>
      <c r="G456" s="297" t="str">
        <f t="shared" si="22"/>
        <v>toute race</v>
      </c>
      <c r="H456" s="297" t="str">
        <f>IF(OR(G456="",G456="toute race"),"",VLOOKUP(G456,'Types de monstres'!$F$2:$G$49,2,FALSE))</f>
        <v/>
      </c>
      <c r="I456" s="297" t="s">
        <v>4091</v>
      </c>
      <c r="J456" s="302">
        <v>12</v>
      </c>
      <c r="K456" s="302">
        <v>9</v>
      </c>
      <c r="L456" s="297"/>
      <c r="M456" s="297" t="s">
        <v>4109</v>
      </c>
      <c r="N456" s="297" t="str">
        <f>IF(M456="sans alignement","",IF(M456="tout alignement", """1_LB"", ""2_NB"", ""3_CB"", ""4_LN"", ""5_NN"", ""6_CN"", ""7_LM"", ""8_NM"", ""9_CM""",IF(M456="tout alignement non bon", """4_LN"", ""5_NN"", ""6_CN"", ""7_LM"", ""8_NM"", ""9_CM""",IF(M456="tout alignement mauvais", """7_LM"", ""8_NM"", ""9_CM""",IF(M456="tout alignement chaotique", """3_CB"", ""6_CN"", ""9_CM""",IF(M456="tout alignement non loyal", """2_NB"", ""3_CB"", ""5_NN"", ""6_CN"", ""8_NM"", ""9_CM""",""""&amp;VLOOKUP(M456,Alignements!$A$2:$B$10,2, FALSE)&amp;""""))))))</f>
        <v>"1_LB", "2_NB", "3_CB", "4_LN", "5_NN", "6_CN", "7_LM", "8_NM", "9_CM"</v>
      </c>
      <c r="O456" s="297"/>
      <c r="P456" t="str">
        <f t="shared" si="23"/>
        <v>"Lanceur de sorts (guérisseur, niv 1)": {
  "Name" : "Lanceur de sorts (guérisseur, niv 1)",
  "VO" : "Spellcaster (healer, lvl 1)",
  "Family" : "HUMANOID",
  "Species" : [""],
  "FP" : "0", 
  "Size" : "M",
  "AC" : 12,
  "HP" : 9, 
  "Speed" : "",
  "Alignments" : ["1_LB", "2_NB", "3_CB", "4_LN", "5_NN", "6_CN", "7_LM", "8_NM", "9_CM"],
  "Legendary" : ""}</v>
      </c>
    </row>
    <row r="457" spans="1:16" ht="21">
      <c r="A457" s="61" t="s">
        <v>4968</v>
      </c>
      <c r="B457" s="298" t="s">
        <v>4969</v>
      </c>
      <c r="C457" s="306">
        <v>0</v>
      </c>
      <c r="D457" s="298" t="s">
        <v>4108</v>
      </c>
      <c r="E457" s="297" t="str">
        <f t="shared" si="21"/>
        <v>Humanoïde</v>
      </c>
      <c r="F457" s="297" t="str">
        <f>VLOOKUP(E457,'Types de monstres'!$A$2:$B$17,2,FALSE)</f>
        <v>HUMANOID</v>
      </c>
      <c r="G457" s="297" t="str">
        <f t="shared" si="22"/>
        <v>toute race</v>
      </c>
      <c r="H457" s="297" t="str">
        <f>IF(OR(G457="",G457="toute race"),"",VLOOKUP(G457,'Types de monstres'!$F$2:$G$49,2,FALSE))</f>
        <v/>
      </c>
      <c r="I457" s="298" t="s">
        <v>4091</v>
      </c>
      <c r="J457" s="300">
        <v>12</v>
      </c>
      <c r="K457" s="300">
        <v>13</v>
      </c>
      <c r="L457" s="298"/>
      <c r="M457" s="298" t="s">
        <v>4109</v>
      </c>
      <c r="N457" s="297" t="str">
        <f>IF(M457="sans alignement","",IF(M457="tout alignement", """1_LB"", ""2_NB"", ""3_CB"", ""4_LN"", ""5_NN"", ""6_CN"", ""7_LM"", ""8_NM"", ""9_CM""",IF(M457="tout alignement non bon", """4_LN"", ""5_NN"", ""6_CN"", ""7_LM"", ""8_NM"", ""9_CM""",IF(M457="tout alignement mauvais", """7_LM"", ""8_NM"", ""9_CM""",IF(M457="tout alignement chaotique", """3_CB"", ""6_CN"", ""9_CM""",IF(M457="tout alignement non loyal", """2_NB"", ""3_CB"", ""5_NN"", ""6_CN"", ""8_NM"", ""9_CM""",""""&amp;VLOOKUP(M457,Alignements!$A$2:$B$10,2, FALSE)&amp;""""))))))</f>
        <v>"1_LB", "2_NB", "3_CB", "4_LN", "5_NN", "6_CN", "7_LM", "8_NM", "9_CM"</v>
      </c>
      <c r="O457" s="298"/>
      <c r="P457" t="str">
        <f t="shared" si="23"/>
        <v>"Lanceur de sorts (guérisseur, niv 2)": {
  "Name" : "Lanceur de sorts (guérisseur, niv 2)",
  "VO" : "Spellcaster (healer, lvl 2)",
  "Family" : "HUMANOID",
  "Species" : [""],
  "FP" : "0", 
  "Size" : "M",
  "AC" : 12,
  "HP" : 13, 
  "Speed" : "",
  "Alignments" : ["1_LB", "2_NB", "3_CB", "4_LN", "5_NN", "6_CN", "7_LM", "8_NM", "9_CM"],
  "Legendary" : ""}</v>
      </c>
    </row>
    <row r="458" spans="1:16" ht="21">
      <c r="A458" s="61" t="s">
        <v>4970</v>
      </c>
      <c r="B458" s="297" t="s">
        <v>4971</v>
      </c>
      <c r="C458" s="305">
        <v>0</v>
      </c>
      <c r="D458" s="297" t="s">
        <v>4108</v>
      </c>
      <c r="E458" s="297" t="str">
        <f t="shared" si="21"/>
        <v>Humanoïde</v>
      </c>
      <c r="F458" s="297" t="str">
        <f>VLOOKUP(E458,'Types de monstres'!$A$2:$B$17,2,FALSE)</f>
        <v>HUMANOID</v>
      </c>
      <c r="G458" s="297" t="str">
        <f t="shared" si="22"/>
        <v>toute race</v>
      </c>
      <c r="H458" s="297" t="str">
        <f>IF(OR(G458="",G458="toute race"),"",VLOOKUP(G458,'Types de monstres'!$F$2:$G$49,2,FALSE))</f>
        <v/>
      </c>
      <c r="I458" s="297" t="s">
        <v>4091</v>
      </c>
      <c r="J458" s="302">
        <v>12</v>
      </c>
      <c r="K458" s="302">
        <v>18</v>
      </c>
      <c r="L458" s="297"/>
      <c r="M458" s="297" t="s">
        <v>4109</v>
      </c>
      <c r="N458" s="297" t="str">
        <f>IF(M458="sans alignement","",IF(M458="tout alignement", """1_LB"", ""2_NB"", ""3_CB"", ""4_LN"", ""5_NN"", ""6_CN"", ""7_LM"", ""8_NM"", ""9_CM""",IF(M458="tout alignement non bon", """4_LN"", ""5_NN"", ""6_CN"", ""7_LM"", ""8_NM"", ""9_CM""",IF(M458="tout alignement mauvais", """7_LM"", ""8_NM"", ""9_CM""",IF(M458="tout alignement chaotique", """3_CB"", ""6_CN"", ""9_CM""",IF(M458="tout alignement non loyal", """2_NB"", ""3_CB"", ""5_NN"", ""6_CN"", ""8_NM"", ""9_CM""",""""&amp;VLOOKUP(M458,Alignements!$A$2:$B$10,2, FALSE)&amp;""""))))))</f>
        <v>"1_LB", "2_NB", "3_CB", "4_LN", "5_NN", "6_CN", "7_LM", "8_NM", "9_CM"</v>
      </c>
      <c r="O458" s="297"/>
      <c r="P458" t="str">
        <f t="shared" si="23"/>
        <v>"Lanceur de sorts (guérisseur, niv 3)": {
  "Name" : "Lanceur de sorts (guérisseur, niv 3)",
  "VO" : "Spellcaster (healer, lvl 3)",
  "Family" : "HUMANOID",
  "Species" : [""],
  "FP" : "0", 
  "Size" : "M",
  "AC" : 12,
  "HP" : 18, 
  "Speed" : "",
  "Alignments" : ["1_LB", "2_NB", "3_CB", "4_LN", "5_NN", "6_CN", "7_LM", "8_NM", "9_CM"],
  "Legendary" : ""}</v>
      </c>
    </row>
    <row r="459" spans="1:16" ht="21">
      <c r="A459" s="61" t="s">
        <v>4972</v>
      </c>
      <c r="B459" s="298" t="s">
        <v>4973</v>
      </c>
      <c r="C459" s="306">
        <v>0</v>
      </c>
      <c r="D459" s="298" t="s">
        <v>4108</v>
      </c>
      <c r="E459" s="297" t="str">
        <f t="shared" si="21"/>
        <v>Humanoïde</v>
      </c>
      <c r="F459" s="297" t="str">
        <f>VLOOKUP(E459,'Types de monstres'!$A$2:$B$17,2,FALSE)</f>
        <v>HUMANOID</v>
      </c>
      <c r="G459" s="297" t="str">
        <f t="shared" si="22"/>
        <v>toute race</v>
      </c>
      <c r="H459" s="297" t="str">
        <f>IF(OR(G459="",G459="toute race"),"",VLOOKUP(G459,'Types de monstres'!$F$2:$G$49,2,FALSE))</f>
        <v/>
      </c>
      <c r="I459" s="298" t="s">
        <v>4091</v>
      </c>
      <c r="J459" s="300">
        <v>12</v>
      </c>
      <c r="K459" s="300">
        <v>22</v>
      </c>
      <c r="L459" s="298"/>
      <c r="M459" s="298" t="s">
        <v>4109</v>
      </c>
      <c r="N459" s="297" t="str">
        <f>IF(M459="sans alignement","",IF(M459="tout alignement", """1_LB"", ""2_NB"", ""3_CB"", ""4_LN"", ""5_NN"", ""6_CN"", ""7_LM"", ""8_NM"", ""9_CM""",IF(M459="tout alignement non bon", """4_LN"", ""5_NN"", ""6_CN"", ""7_LM"", ""8_NM"", ""9_CM""",IF(M459="tout alignement mauvais", """7_LM"", ""8_NM"", ""9_CM""",IF(M459="tout alignement chaotique", """3_CB"", ""6_CN"", ""9_CM""",IF(M459="tout alignement non loyal", """2_NB"", ""3_CB"", ""5_NN"", ""6_CN"", ""8_NM"", ""9_CM""",""""&amp;VLOOKUP(M459,Alignements!$A$2:$B$10,2, FALSE)&amp;""""))))))</f>
        <v>"1_LB", "2_NB", "3_CB", "4_LN", "5_NN", "6_CN", "7_LM", "8_NM", "9_CM"</v>
      </c>
      <c r="O459" s="298"/>
      <c r="P459" t="str">
        <f t="shared" si="23"/>
        <v>"Lanceur de sorts (guérisseur, niv 4)": {
  "Name" : "Lanceur de sorts (guérisseur, niv 4)",
  "VO" : "Spellcaster (healer, lvl 4)",
  "Family" : "HUMANOID",
  "Species" : [""],
  "FP" : "0", 
  "Size" : "M",
  "AC" : 12,
  "HP" : 22, 
  "Speed" : "",
  "Alignments" : ["1_LB", "2_NB", "3_CB", "4_LN", "5_NN", "6_CN", "7_LM", "8_NM", "9_CM"],
  "Legendary" : ""}</v>
      </c>
    </row>
    <row r="460" spans="1:16" ht="21">
      <c r="A460" s="61" t="s">
        <v>4974</v>
      </c>
      <c r="B460" s="297" t="s">
        <v>4975</v>
      </c>
      <c r="C460" s="305">
        <v>0</v>
      </c>
      <c r="D460" s="297" t="s">
        <v>4108</v>
      </c>
      <c r="E460" s="297" t="str">
        <f t="shared" si="21"/>
        <v>Humanoïde</v>
      </c>
      <c r="F460" s="297" t="str">
        <f>VLOOKUP(E460,'Types de monstres'!$A$2:$B$17,2,FALSE)</f>
        <v>HUMANOID</v>
      </c>
      <c r="G460" s="297" t="str">
        <f t="shared" si="22"/>
        <v>toute race</v>
      </c>
      <c r="H460" s="297" t="str">
        <f>IF(OR(G460="",G460="toute race"),"",VLOOKUP(G460,'Types de monstres'!$F$2:$G$49,2,FALSE))</f>
        <v/>
      </c>
      <c r="I460" s="297" t="s">
        <v>4091</v>
      </c>
      <c r="J460" s="302">
        <v>12</v>
      </c>
      <c r="K460" s="302">
        <v>27</v>
      </c>
      <c r="L460" s="297"/>
      <c r="M460" s="297" t="s">
        <v>4109</v>
      </c>
      <c r="N460" s="297" t="str">
        <f>IF(M460="sans alignement","",IF(M460="tout alignement", """1_LB"", ""2_NB"", ""3_CB"", ""4_LN"", ""5_NN"", ""6_CN"", ""7_LM"", ""8_NM"", ""9_CM""",IF(M460="tout alignement non bon", """4_LN"", ""5_NN"", ""6_CN"", ""7_LM"", ""8_NM"", ""9_CM""",IF(M460="tout alignement mauvais", """7_LM"", ""8_NM"", ""9_CM""",IF(M460="tout alignement chaotique", """3_CB"", ""6_CN"", ""9_CM""",IF(M460="tout alignement non loyal", """2_NB"", ""3_CB"", ""5_NN"", ""6_CN"", ""8_NM"", ""9_CM""",""""&amp;VLOOKUP(M460,Alignements!$A$2:$B$10,2, FALSE)&amp;""""))))))</f>
        <v>"1_LB", "2_NB", "3_CB", "4_LN", "5_NN", "6_CN", "7_LM", "8_NM", "9_CM"</v>
      </c>
      <c r="O460" s="297"/>
      <c r="P460" t="str">
        <f t="shared" si="23"/>
        <v>"Lanceur de sorts (guérisseur, niv 5)": {
  "Name" : "Lanceur de sorts (guérisseur, niv 5)",
  "VO" : "Spellcaster (healer, lvl 5)",
  "Family" : "HUMANOID",
  "Species" : [""],
  "FP" : "0", 
  "Size" : "M",
  "AC" : 12,
  "HP" : 27, 
  "Speed" : "",
  "Alignments" : ["1_LB", "2_NB", "3_CB", "4_LN", "5_NN", "6_CN", "7_LM", "8_NM", "9_CM"],
  "Legendary" : ""}</v>
      </c>
    </row>
    <row r="461" spans="1:16" ht="21">
      <c r="A461" s="61" t="s">
        <v>4976</v>
      </c>
      <c r="B461" s="298" t="s">
        <v>4977</v>
      </c>
      <c r="C461" s="306">
        <v>0</v>
      </c>
      <c r="D461" s="298" t="s">
        <v>4108</v>
      </c>
      <c r="E461" s="297" t="str">
        <f t="shared" si="21"/>
        <v>Humanoïde</v>
      </c>
      <c r="F461" s="297" t="str">
        <f>VLOOKUP(E461,'Types de monstres'!$A$2:$B$17,2,FALSE)</f>
        <v>HUMANOID</v>
      </c>
      <c r="G461" s="297" t="str">
        <f t="shared" si="22"/>
        <v>toute race</v>
      </c>
      <c r="H461" s="297" t="str">
        <f>IF(OR(G461="",G461="toute race"),"",VLOOKUP(G461,'Types de monstres'!$F$2:$G$49,2,FALSE))</f>
        <v/>
      </c>
      <c r="I461" s="298" t="s">
        <v>4091</v>
      </c>
      <c r="J461" s="300">
        <v>12</v>
      </c>
      <c r="K461" s="300">
        <v>31</v>
      </c>
      <c r="L461" s="298"/>
      <c r="M461" s="298" t="s">
        <v>4109</v>
      </c>
      <c r="N461" s="297" t="str">
        <f>IF(M461="sans alignement","",IF(M461="tout alignement", """1_LB"", ""2_NB"", ""3_CB"", ""4_LN"", ""5_NN"", ""6_CN"", ""7_LM"", ""8_NM"", ""9_CM""",IF(M461="tout alignement non bon", """4_LN"", ""5_NN"", ""6_CN"", ""7_LM"", ""8_NM"", ""9_CM""",IF(M461="tout alignement mauvais", """7_LM"", ""8_NM"", ""9_CM""",IF(M461="tout alignement chaotique", """3_CB"", ""6_CN"", ""9_CM""",IF(M461="tout alignement non loyal", """2_NB"", ""3_CB"", ""5_NN"", ""6_CN"", ""8_NM"", ""9_CM""",""""&amp;VLOOKUP(M461,Alignements!$A$2:$B$10,2, FALSE)&amp;""""))))))</f>
        <v>"1_LB", "2_NB", "3_CB", "4_LN", "5_NN", "6_CN", "7_LM", "8_NM", "9_CM"</v>
      </c>
      <c r="O461" s="298"/>
      <c r="P461" t="str">
        <f t="shared" si="23"/>
        <v>"Lanceur de sorts (guérisseur, niv 6)": {
  "Name" : "Lanceur de sorts (guérisseur, niv 6)",
  "VO" : "Spellcaster (healer, lvl 6)",
  "Family" : "HUMANOID",
  "Species" : [""],
  "FP" : "0", 
  "Size" : "M",
  "AC" : 12,
  "HP" : 31, 
  "Speed" : "",
  "Alignments" : ["1_LB", "2_NB", "3_CB", "4_LN", "5_NN", "6_CN", "7_LM", "8_NM", "9_CM"],
  "Legendary" : ""}</v>
      </c>
    </row>
    <row r="462" spans="1:16" ht="21">
      <c r="A462" s="61" t="s">
        <v>4978</v>
      </c>
      <c r="B462" s="297" t="s">
        <v>4979</v>
      </c>
      <c r="C462" s="305">
        <v>0</v>
      </c>
      <c r="D462" s="297" t="s">
        <v>4108</v>
      </c>
      <c r="E462" s="297" t="str">
        <f t="shared" si="21"/>
        <v>Humanoïde</v>
      </c>
      <c r="F462" s="297" t="str">
        <f>VLOOKUP(E462,'Types de monstres'!$A$2:$B$17,2,FALSE)</f>
        <v>HUMANOID</v>
      </c>
      <c r="G462" s="297" t="str">
        <f t="shared" si="22"/>
        <v>toute race</v>
      </c>
      <c r="H462" s="297" t="str">
        <f>IF(OR(G462="",G462="toute race"),"",VLOOKUP(G462,'Types de monstres'!$F$2:$G$49,2,FALSE))</f>
        <v/>
      </c>
      <c r="I462" s="297" t="s">
        <v>4091</v>
      </c>
      <c r="J462" s="302">
        <v>12</v>
      </c>
      <c r="K462" s="302">
        <v>9</v>
      </c>
      <c r="L462" s="297"/>
      <c r="M462" s="297" t="s">
        <v>4109</v>
      </c>
      <c r="N462" s="297" t="str">
        <f>IF(M462="sans alignement","",IF(M462="tout alignement", """1_LB"", ""2_NB"", ""3_CB"", ""4_LN"", ""5_NN"", ""6_CN"", ""7_LM"", ""8_NM"", ""9_CM""",IF(M462="tout alignement non bon", """4_LN"", ""5_NN"", ""6_CN"", ""7_LM"", ""8_NM"", ""9_CM""",IF(M462="tout alignement mauvais", """7_LM"", ""8_NM"", ""9_CM""",IF(M462="tout alignement chaotique", """3_CB"", ""6_CN"", ""9_CM""",IF(M462="tout alignement non loyal", """2_NB"", ""3_CB"", ""5_NN"", ""6_CN"", ""8_NM"", ""9_CM""",""""&amp;VLOOKUP(M462,Alignements!$A$2:$B$10,2, FALSE)&amp;""""))))))</f>
        <v>"1_LB", "2_NB", "3_CB", "4_LN", "5_NN", "6_CN", "7_LM", "8_NM", "9_CM"</v>
      </c>
      <c r="O462" s="297"/>
      <c r="P462" t="str">
        <f t="shared" si="23"/>
        <v>"Lanceur de sorts (mage, niv 1)": {
  "Name" : "Lanceur de sorts (mage, niv 1)",
  "VO" : "Spellcaster (mage, lvl 1)",
  "Family" : "HUMANOID",
  "Species" : [""],
  "FP" : "0", 
  "Size" : "M",
  "AC" : 12,
  "HP" : 9, 
  "Speed" : "",
  "Alignments" : ["1_LB", "2_NB", "3_CB", "4_LN", "5_NN", "6_CN", "7_LM", "8_NM", "9_CM"],
  "Legendary" : ""}</v>
      </c>
    </row>
    <row r="463" spans="1:16" ht="21">
      <c r="A463" s="61" t="s">
        <v>4980</v>
      </c>
      <c r="B463" s="298" t="s">
        <v>4981</v>
      </c>
      <c r="C463" s="306">
        <v>0</v>
      </c>
      <c r="D463" s="298" t="s">
        <v>4108</v>
      </c>
      <c r="E463" s="297" t="str">
        <f t="shared" si="21"/>
        <v>Humanoïde</v>
      </c>
      <c r="F463" s="297" t="str">
        <f>VLOOKUP(E463,'Types de monstres'!$A$2:$B$17,2,FALSE)</f>
        <v>HUMANOID</v>
      </c>
      <c r="G463" s="297" t="str">
        <f t="shared" si="22"/>
        <v>toute race</v>
      </c>
      <c r="H463" s="297" t="str">
        <f>IF(OR(G463="",G463="toute race"),"",VLOOKUP(G463,'Types de monstres'!$F$2:$G$49,2,FALSE))</f>
        <v/>
      </c>
      <c r="I463" s="298" t="s">
        <v>4091</v>
      </c>
      <c r="J463" s="300">
        <v>12</v>
      </c>
      <c r="K463" s="300">
        <v>13</v>
      </c>
      <c r="L463" s="298"/>
      <c r="M463" s="298" t="s">
        <v>4109</v>
      </c>
      <c r="N463" s="297" t="str">
        <f>IF(M463="sans alignement","",IF(M463="tout alignement", """1_LB"", ""2_NB"", ""3_CB"", ""4_LN"", ""5_NN"", ""6_CN"", ""7_LM"", ""8_NM"", ""9_CM""",IF(M463="tout alignement non bon", """4_LN"", ""5_NN"", ""6_CN"", ""7_LM"", ""8_NM"", ""9_CM""",IF(M463="tout alignement mauvais", """7_LM"", ""8_NM"", ""9_CM""",IF(M463="tout alignement chaotique", """3_CB"", ""6_CN"", ""9_CM""",IF(M463="tout alignement non loyal", """2_NB"", ""3_CB"", ""5_NN"", ""6_CN"", ""8_NM"", ""9_CM""",""""&amp;VLOOKUP(M463,Alignements!$A$2:$B$10,2, FALSE)&amp;""""))))))</f>
        <v>"1_LB", "2_NB", "3_CB", "4_LN", "5_NN", "6_CN", "7_LM", "8_NM", "9_CM"</v>
      </c>
      <c r="O463" s="298"/>
      <c r="P463" t="str">
        <f t="shared" si="23"/>
        <v>"Lanceur de sorts (mage, niv 2)": {
  "Name" : "Lanceur de sorts (mage, niv 2)",
  "VO" : "Spellcaster (mage, lvl 2)",
  "Family" : "HUMANOID",
  "Species" : [""],
  "FP" : "0", 
  "Size" : "M",
  "AC" : 12,
  "HP" : 13, 
  "Speed" : "",
  "Alignments" : ["1_LB", "2_NB", "3_CB", "4_LN", "5_NN", "6_CN", "7_LM", "8_NM", "9_CM"],
  "Legendary" : ""}</v>
      </c>
    </row>
    <row r="464" spans="1:16" ht="21">
      <c r="A464" s="61" t="s">
        <v>4982</v>
      </c>
      <c r="B464" s="297" t="s">
        <v>4983</v>
      </c>
      <c r="C464" s="305">
        <v>0</v>
      </c>
      <c r="D464" s="297" t="s">
        <v>4108</v>
      </c>
      <c r="E464" s="297" t="str">
        <f t="shared" si="21"/>
        <v>Humanoïde</v>
      </c>
      <c r="F464" s="297" t="str">
        <f>VLOOKUP(E464,'Types de monstres'!$A$2:$B$17,2,FALSE)</f>
        <v>HUMANOID</v>
      </c>
      <c r="G464" s="297" t="str">
        <f t="shared" si="22"/>
        <v>toute race</v>
      </c>
      <c r="H464" s="297" t="str">
        <f>IF(OR(G464="",G464="toute race"),"",VLOOKUP(G464,'Types de monstres'!$F$2:$G$49,2,FALSE))</f>
        <v/>
      </c>
      <c r="I464" s="297" t="s">
        <v>4091</v>
      </c>
      <c r="J464" s="302">
        <v>12</v>
      </c>
      <c r="K464" s="302">
        <v>18</v>
      </c>
      <c r="L464" s="297"/>
      <c r="M464" s="297" t="s">
        <v>4109</v>
      </c>
      <c r="N464" s="297" t="str">
        <f>IF(M464="sans alignement","",IF(M464="tout alignement", """1_LB"", ""2_NB"", ""3_CB"", ""4_LN"", ""5_NN"", ""6_CN"", ""7_LM"", ""8_NM"", ""9_CM""",IF(M464="tout alignement non bon", """4_LN"", ""5_NN"", ""6_CN"", ""7_LM"", ""8_NM"", ""9_CM""",IF(M464="tout alignement mauvais", """7_LM"", ""8_NM"", ""9_CM""",IF(M464="tout alignement chaotique", """3_CB"", ""6_CN"", ""9_CM""",IF(M464="tout alignement non loyal", """2_NB"", ""3_CB"", ""5_NN"", ""6_CN"", ""8_NM"", ""9_CM""",""""&amp;VLOOKUP(M464,Alignements!$A$2:$B$10,2, FALSE)&amp;""""))))))</f>
        <v>"1_LB", "2_NB", "3_CB", "4_LN", "5_NN", "6_CN", "7_LM", "8_NM", "9_CM"</v>
      </c>
      <c r="O464" s="297"/>
      <c r="P464" t="str">
        <f t="shared" si="23"/>
        <v>"Lanceur de sorts (mage, niv 3)": {
  "Name" : "Lanceur de sorts (mage, niv 3)",
  "VO" : "Spellcaster (mage, lvl 3)",
  "Family" : "HUMANOID",
  "Species" : [""],
  "FP" : "0", 
  "Size" : "M",
  "AC" : 12,
  "HP" : 18, 
  "Speed" : "",
  "Alignments" : ["1_LB", "2_NB", "3_CB", "4_LN", "5_NN", "6_CN", "7_LM", "8_NM", "9_CM"],
  "Legendary" : ""}</v>
      </c>
    </row>
    <row r="465" spans="1:16" ht="21">
      <c r="A465" s="61" t="s">
        <v>4984</v>
      </c>
      <c r="B465" s="298" t="s">
        <v>4985</v>
      </c>
      <c r="C465" s="306">
        <v>0</v>
      </c>
      <c r="D465" s="298" t="s">
        <v>4108</v>
      </c>
      <c r="E465" s="297" t="str">
        <f t="shared" si="21"/>
        <v>Humanoïde</v>
      </c>
      <c r="F465" s="297" t="str">
        <f>VLOOKUP(E465,'Types de monstres'!$A$2:$B$17,2,FALSE)</f>
        <v>HUMANOID</v>
      </c>
      <c r="G465" s="297" t="str">
        <f t="shared" si="22"/>
        <v>toute race</v>
      </c>
      <c r="H465" s="297" t="str">
        <f>IF(OR(G465="",G465="toute race"),"",VLOOKUP(G465,'Types de monstres'!$F$2:$G$49,2,FALSE))</f>
        <v/>
      </c>
      <c r="I465" s="298" t="s">
        <v>4091</v>
      </c>
      <c r="J465" s="300">
        <v>12</v>
      </c>
      <c r="K465" s="300">
        <v>22</v>
      </c>
      <c r="L465" s="298"/>
      <c r="M465" s="298" t="s">
        <v>4109</v>
      </c>
      <c r="N465" s="297" t="str">
        <f>IF(M465="sans alignement","",IF(M465="tout alignement", """1_LB"", ""2_NB"", ""3_CB"", ""4_LN"", ""5_NN"", ""6_CN"", ""7_LM"", ""8_NM"", ""9_CM""",IF(M465="tout alignement non bon", """4_LN"", ""5_NN"", ""6_CN"", ""7_LM"", ""8_NM"", ""9_CM""",IF(M465="tout alignement mauvais", """7_LM"", ""8_NM"", ""9_CM""",IF(M465="tout alignement chaotique", """3_CB"", ""6_CN"", ""9_CM""",IF(M465="tout alignement non loyal", """2_NB"", ""3_CB"", ""5_NN"", ""6_CN"", ""8_NM"", ""9_CM""",""""&amp;VLOOKUP(M465,Alignements!$A$2:$B$10,2, FALSE)&amp;""""))))))</f>
        <v>"1_LB", "2_NB", "3_CB", "4_LN", "5_NN", "6_CN", "7_LM", "8_NM", "9_CM"</v>
      </c>
      <c r="O465" s="298"/>
      <c r="P465" t="str">
        <f t="shared" si="23"/>
        <v>"Lanceur de sorts (mage, niv 4)": {
  "Name" : "Lanceur de sorts (mage, niv 4)",
  "VO" : "Spellcaster (mage, lvl 4)",
  "Family" : "HUMANOID",
  "Species" : [""],
  "FP" : "0", 
  "Size" : "M",
  "AC" : 12,
  "HP" : 22, 
  "Speed" : "",
  "Alignments" : ["1_LB", "2_NB", "3_CB", "4_LN", "5_NN", "6_CN", "7_LM", "8_NM", "9_CM"],
  "Legendary" : ""}</v>
      </c>
    </row>
    <row r="466" spans="1:16" ht="21">
      <c r="A466" s="61" t="s">
        <v>4986</v>
      </c>
      <c r="B466" s="297" t="s">
        <v>4987</v>
      </c>
      <c r="C466" s="305">
        <v>0</v>
      </c>
      <c r="D466" s="297" t="s">
        <v>4108</v>
      </c>
      <c r="E466" s="297" t="str">
        <f t="shared" si="21"/>
        <v>Humanoïde</v>
      </c>
      <c r="F466" s="297" t="str">
        <f>VLOOKUP(E466,'Types de monstres'!$A$2:$B$17,2,FALSE)</f>
        <v>HUMANOID</v>
      </c>
      <c r="G466" s="297" t="str">
        <f t="shared" si="22"/>
        <v>toute race</v>
      </c>
      <c r="H466" s="297" t="str">
        <f>IF(OR(G466="",G466="toute race"),"",VLOOKUP(G466,'Types de monstres'!$F$2:$G$49,2,FALSE))</f>
        <v/>
      </c>
      <c r="I466" s="297" t="s">
        <v>4091</v>
      </c>
      <c r="J466" s="302">
        <v>12</v>
      </c>
      <c r="K466" s="302">
        <v>27</v>
      </c>
      <c r="L466" s="297"/>
      <c r="M466" s="297" t="s">
        <v>4109</v>
      </c>
      <c r="N466" s="297" t="str">
        <f>IF(M466="sans alignement","",IF(M466="tout alignement", """1_LB"", ""2_NB"", ""3_CB"", ""4_LN"", ""5_NN"", ""6_CN"", ""7_LM"", ""8_NM"", ""9_CM""",IF(M466="tout alignement non bon", """4_LN"", ""5_NN"", ""6_CN"", ""7_LM"", ""8_NM"", ""9_CM""",IF(M466="tout alignement mauvais", """7_LM"", ""8_NM"", ""9_CM""",IF(M466="tout alignement chaotique", """3_CB"", ""6_CN"", ""9_CM""",IF(M466="tout alignement non loyal", """2_NB"", ""3_CB"", ""5_NN"", ""6_CN"", ""8_NM"", ""9_CM""",""""&amp;VLOOKUP(M466,Alignements!$A$2:$B$10,2, FALSE)&amp;""""))))))</f>
        <v>"1_LB", "2_NB", "3_CB", "4_LN", "5_NN", "6_CN", "7_LM", "8_NM", "9_CM"</v>
      </c>
      <c r="O466" s="297"/>
      <c r="P466" t="str">
        <f t="shared" si="23"/>
        <v>"Lanceur de sorts (mage, niv 5)": {
  "Name" : "Lanceur de sorts (mage, niv 5)",
  "VO" : "Spellcaster (mage, lvl 5)",
  "Family" : "HUMANOID",
  "Species" : [""],
  "FP" : "0", 
  "Size" : "M",
  "AC" : 12,
  "HP" : 27, 
  "Speed" : "",
  "Alignments" : ["1_LB", "2_NB", "3_CB", "4_LN", "5_NN", "6_CN", "7_LM", "8_NM", "9_CM"],
  "Legendary" : ""}</v>
      </c>
    </row>
    <row r="467" spans="1:16" ht="21">
      <c r="A467" s="61" t="s">
        <v>4988</v>
      </c>
      <c r="B467" s="298" t="s">
        <v>4989</v>
      </c>
      <c r="C467" s="306">
        <v>0</v>
      </c>
      <c r="D467" s="298" t="s">
        <v>4108</v>
      </c>
      <c r="E467" s="297" t="str">
        <f t="shared" si="21"/>
        <v>Humanoïde</v>
      </c>
      <c r="F467" s="297" t="str">
        <f>VLOOKUP(E467,'Types de monstres'!$A$2:$B$17,2,FALSE)</f>
        <v>HUMANOID</v>
      </c>
      <c r="G467" s="297" t="str">
        <f t="shared" si="22"/>
        <v>toute race</v>
      </c>
      <c r="H467" s="297" t="str">
        <f>IF(OR(G467="",G467="toute race"),"",VLOOKUP(G467,'Types de monstres'!$F$2:$G$49,2,FALSE))</f>
        <v/>
      </c>
      <c r="I467" s="298" t="s">
        <v>4091</v>
      </c>
      <c r="J467" s="300">
        <v>12</v>
      </c>
      <c r="K467" s="300">
        <v>31</v>
      </c>
      <c r="L467" s="298"/>
      <c r="M467" s="298" t="s">
        <v>4109</v>
      </c>
      <c r="N467" s="297" t="str">
        <f>IF(M467="sans alignement","",IF(M467="tout alignement", """1_LB"", ""2_NB"", ""3_CB"", ""4_LN"", ""5_NN"", ""6_CN"", ""7_LM"", ""8_NM"", ""9_CM""",IF(M467="tout alignement non bon", """4_LN"", ""5_NN"", ""6_CN"", ""7_LM"", ""8_NM"", ""9_CM""",IF(M467="tout alignement mauvais", """7_LM"", ""8_NM"", ""9_CM""",IF(M467="tout alignement chaotique", """3_CB"", ""6_CN"", ""9_CM""",IF(M467="tout alignement non loyal", """2_NB"", ""3_CB"", ""5_NN"", ""6_CN"", ""8_NM"", ""9_CM""",""""&amp;VLOOKUP(M467,Alignements!$A$2:$B$10,2, FALSE)&amp;""""))))))</f>
        <v>"1_LB", "2_NB", "3_CB", "4_LN", "5_NN", "6_CN", "7_LM", "8_NM", "9_CM"</v>
      </c>
      <c r="O467" s="298"/>
      <c r="P467" t="str">
        <f t="shared" si="23"/>
        <v>"Lanceur de sorts (mage, niv 6)": {
  "Name" : "Lanceur de sorts (mage, niv 6)",
  "VO" : "Spellcaster (mage, lvl 6)",
  "Family" : "HUMANOID",
  "Species" : [""],
  "FP" : "0", 
  "Size" : "M",
  "AC" : 12,
  "HP" : 31, 
  "Speed" : "",
  "Alignments" : ["1_LB", "2_NB", "3_CB", "4_LN", "5_NN", "6_CN", "7_LM", "8_NM", "9_CM"],
  "Legendary" : ""}</v>
      </c>
    </row>
    <row r="468" spans="1:16" ht="21">
      <c r="A468" s="301" t="s">
        <v>4990</v>
      </c>
      <c r="B468" s="297" t="s">
        <v>4991</v>
      </c>
      <c r="C468" s="305">
        <v>18</v>
      </c>
      <c r="D468" s="297" t="s">
        <v>4386</v>
      </c>
      <c r="E468" s="297" t="str">
        <f t="shared" si="21"/>
        <v>Humanoïde</v>
      </c>
      <c r="F468" s="297" t="str">
        <f>VLOOKUP(E468,'Types de monstres'!$A$2:$B$17,2,FALSE)</f>
        <v>HUMANOID</v>
      </c>
      <c r="G468" s="297" t="str">
        <f t="shared" si="22"/>
        <v>forgelier</v>
      </c>
      <c r="H468" s="297" t="str">
        <f>IF(OR(G468="",G468="toute race"),"",VLOOKUP(G468,'Types de monstres'!$F$2:$G$49,2,FALSE))</f>
        <v>WARFORGED</v>
      </c>
      <c r="I468" s="297" t="s">
        <v>4091</v>
      </c>
      <c r="J468" s="302">
        <v>19</v>
      </c>
      <c r="K468" s="302">
        <v>195</v>
      </c>
      <c r="L468" s="297"/>
      <c r="M468" s="297" t="s">
        <v>4097</v>
      </c>
      <c r="N468" s="297" t="str">
        <f>IF(M468="sans alignement","",IF(M468="tout alignement", """1_LB"", ""2_NB"", ""3_CB"", ""4_LN"", ""5_NN"", ""6_CN"", ""7_LM"", ""8_NM"", ""9_CM""",IF(M468="tout alignement non bon", """4_LN"", ""5_NN"", ""6_CN"", ""7_LM"", ""8_NM"", ""9_CM""",IF(M468="tout alignement mauvais", """7_LM"", ""8_NM"", ""9_CM""",IF(M468="tout alignement chaotique", """3_CB"", ""6_CN"", ""9_CM""",IF(M468="tout alignement non loyal", """2_NB"", ""3_CB"", ""5_NN"", ""6_CN"", ""8_NM"", ""9_CM""",""""&amp;VLOOKUP(M468,Alignements!$A$2:$B$10,2, FALSE)&amp;""""))))))</f>
        <v>"7_LM"</v>
      </c>
      <c r="O468" s="297"/>
      <c r="P468" t="str">
        <f t="shared" si="23"/>
        <v>"Le seigneur des lames": {
  "Name" : "Le seigneur des lames",
  "VO" : "The Lord of Blades",
  "Family" : "HUMANOID",
  "Species" : ["WARFORGED"],
  "FP" : "18", 
  "Size" : "M",
  "AC" : 19,
  "HP" : 195, 
  "Speed" : "",
  "Alignments" : ["7_LM"],
  "Legendary" : ""}</v>
      </c>
    </row>
    <row r="469" spans="1:16">
      <c r="A469" s="61" t="s">
        <v>4992</v>
      </c>
      <c r="B469" s="298" t="s">
        <v>4992</v>
      </c>
      <c r="C469" s="306">
        <v>1</v>
      </c>
      <c r="D469" s="298" t="s">
        <v>4993</v>
      </c>
      <c r="E469" s="297" t="str">
        <f t="shared" si="21"/>
        <v>Humanoïde</v>
      </c>
      <c r="F469" s="297" t="str">
        <f>VLOOKUP(E469,'Types de monstres'!$A$2:$B$17,2,FALSE)</f>
        <v>HUMANOID</v>
      </c>
      <c r="G469" s="297" t="str">
        <f t="shared" si="22"/>
        <v>yuan-ti</v>
      </c>
      <c r="H469" s="297" t="str">
        <f>IF(OR(G469="",G469="toute race"),"",VLOOKUP(G469,'Types de monstres'!$F$2:$G$49,2,FALSE))</f>
        <v>YUAN_TI</v>
      </c>
      <c r="I469" s="298" t="s">
        <v>4091</v>
      </c>
      <c r="J469" s="300">
        <v>11</v>
      </c>
      <c r="K469" s="300">
        <v>40</v>
      </c>
      <c r="L469" s="298"/>
      <c r="M469" s="298" t="s">
        <v>4145</v>
      </c>
      <c r="N469" s="297" t="str">
        <f>IF(M469="sans alignement","",IF(M469="tout alignement", """1_LB"", ""2_NB"", ""3_CB"", ""4_LN"", ""5_NN"", ""6_CN"", ""7_LM"", ""8_NM"", ""9_CM""",IF(M469="tout alignement non bon", """4_LN"", ""5_NN"", ""6_CN"", ""7_LM"", ""8_NM"", ""9_CM""",IF(M469="tout alignement mauvais", """7_LM"", ""8_NM"", ""9_CM""",IF(M469="tout alignement chaotique", """3_CB"", ""6_CN"", ""9_CM""",IF(M469="tout alignement non loyal", """2_NB"", ""3_CB"", ""5_NN"", ""6_CN"", ""8_NM"", ""9_CM""",""""&amp;VLOOKUP(M469,Alignements!$A$2:$B$10,2, FALSE)&amp;""""))))))</f>
        <v>"4_LN"</v>
      </c>
      <c r="O469" s="298"/>
      <c r="P469" t="str">
        <f t="shared" si="23"/>
        <v>"Lekhet": {
  "Name" : "Lekhet",
  "VO" : "Lekhet",
  "Family" : "HUMANOID",
  "Species" : ["YUAN_TI"],
  "FP" : "1", 
  "Size" : "M",
  "AC" : 11,
  "HP" : 40, 
  "Speed" : "",
  "Alignments" : ["4_LN"],
  "Legendary" : ""}</v>
      </c>
    </row>
    <row r="470" spans="1:16">
      <c r="A470" s="61" t="s">
        <v>4994</v>
      </c>
      <c r="B470" s="297" t="s">
        <v>4995</v>
      </c>
      <c r="C470" s="305">
        <v>0</v>
      </c>
      <c r="D470" s="297" t="s">
        <v>4096</v>
      </c>
      <c r="E470" s="297" t="str">
        <f t="shared" si="21"/>
        <v>Fiélon</v>
      </c>
      <c r="F470" s="297" t="str">
        <f>VLOOKUP(E470,'Types de monstres'!$A$2:$B$17,2,FALSE)</f>
        <v>FIEND</v>
      </c>
      <c r="G470" s="297" t="str">
        <f t="shared" si="22"/>
        <v>diable</v>
      </c>
      <c r="H470" s="297" t="str">
        <f>IF(OR(G470="",G470="toute race"),"",VLOOKUP(G470,'Types de monstres'!$F$2:$G$49,2,FALSE))</f>
        <v>DEVIL</v>
      </c>
      <c r="I470" s="297" t="s">
        <v>4091</v>
      </c>
      <c r="J470" s="302">
        <v>7</v>
      </c>
      <c r="K470" s="302">
        <v>13</v>
      </c>
      <c r="L470" s="297"/>
      <c r="M470" s="297" t="s">
        <v>4097</v>
      </c>
      <c r="N470" s="297" t="str">
        <f>IF(M470="sans alignement","",IF(M470="tout alignement", """1_LB"", ""2_NB"", ""3_CB"", ""4_LN"", ""5_NN"", ""6_CN"", ""7_LM"", ""8_NM"", ""9_CM""",IF(M470="tout alignement non bon", """4_LN"", ""5_NN"", ""6_CN"", ""7_LM"", ""8_NM"", ""9_CM""",IF(M470="tout alignement mauvais", """7_LM"", ""8_NM"", ""9_CM""",IF(M470="tout alignement chaotique", """3_CB"", ""6_CN"", ""9_CM""",IF(M470="tout alignement non loyal", """2_NB"", ""3_CB"", ""5_NN"", ""6_CN"", ""8_NM"", ""9_CM""",""""&amp;VLOOKUP(M470,Alignements!$A$2:$B$10,2, FALSE)&amp;""""))))))</f>
        <v>"7_LM"</v>
      </c>
      <c r="O470" s="297"/>
      <c r="P470" t="str">
        <f t="shared" si="23"/>
        <v>"Lémure": {
  "Name" : "Lémure",
  "VO" : "Lemure",
  "Family" : "FIEND",
  "Species" : ["DEVIL"],
  "FP" : "0", 
  "Size" : "M",
  "AC" : 7,
  "HP" : 13, 
  "Speed" : "",
  "Alignments" : ["7_LM"],
  "Legendary" : ""}</v>
      </c>
    </row>
    <row r="471" spans="1:16">
      <c r="A471" s="61" t="s">
        <v>4996</v>
      </c>
      <c r="B471" s="298" t="s">
        <v>4996</v>
      </c>
      <c r="C471" s="306">
        <v>3</v>
      </c>
      <c r="D471" s="298" t="s">
        <v>4121</v>
      </c>
      <c r="E471" s="297" t="str">
        <f t="shared" si="21"/>
        <v>Créature monstrueuse</v>
      </c>
      <c r="F471" s="297" t="str">
        <f>VLOOKUP(E471,'Types de monstres'!$A$2:$B$17,2,FALSE)</f>
        <v>MONSTROUS_CREATURE</v>
      </c>
      <c r="G471" s="297" t="str">
        <f t="shared" si="22"/>
        <v/>
      </c>
      <c r="H471" s="297" t="str">
        <f>IF(OR(G471="",G471="toute race"),"",VLOOKUP(G471,'Types de monstres'!$F$2:$G$49,2,FALSE))</f>
        <v/>
      </c>
      <c r="I471" s="298" t="s">
        <v>4112</v>
      </c>
      <c r="J471" s="300">
        <v>14</v>
      </c>
      <c r="K471" s="300">
        <v>67</v>
      </c>
      <c r="L471" s="298"/>
      <c r="M471" s="298" t="s">
        <v>4137</v>
      </c>
      <c r="N471" s="297" t="str">
        <f>IF(M471="sans alignement","",IF(M471="tout alignement", """1_LB"", ""2_NB"", ""3_CB"", ""4_LN"", ""5_NN"", ""6_CN"", ""7_LM"", ""8_NM"", ""9_CM""",IF(M471="tout alignement non bon", """4_LN"", ""5_NN"", ""6_CN"", ""7_LM"", ""8_NM"", ""9_CM""",IF(M471="tout alignement mauvais", """7_LM"", ""8_NM"", ""9_CM""",IF(M471="tout alignement chaotique", """3_CB"", ""6_CN"", ""9_CM""",IF(M471="tout alignement non loyal", """2_NB"", ""3_CB"", ""5_NN"", ""6_CN"", ""8_NM"", ""9_CM""",""""&amp;VLOOKUP(M471,Alignements!$A$2:$B$10,2, FALSE)&amp;""""))))))</f>
        <v>"9_CM"</v>
      </c>
      <c r="O471" s="298"/>
      <c r="P471" t="str">
        <f t="shared" si="23"/>
        <v>"Leucrotta": {
  "Name" : "Leucrotta",
  "VO" : "Leucrotta",
  "Family" : "MONSTROUS_CREATURE",
  "Species" : [""],
  "FP" : "3", 
  "Size" : "G",
  "AC" : 14,
  "HP" : 67, 
  "Speed" : "",
  "Alignments" : ["9_CM"],
  "Legendary" : ""}</v>
      </c>
    </row>
    <row r="472" spans="1:16">
      <c r="A472" s="301" t="s">
        <v>4997</v>
      </c>
      <c r="B472" s="297" t="s">
        <v>4997</v>
      </c>
      <c r="C472" s="305">
        <v>20</v>
      </c>
      <c r="D472" s="297" t="s">
        <v>4189</v>
      </c>
      <c r="E472" s="297" t="str">
        <f t="shared" si="21"/>
        <v>Élémentaire</v>
      </c>
      <c r="F472" s="297" t="str">
        <f>VLOOKUP(E472,'Types de monstres'!$A$2:$B$17,2,FALSE)</f>
        <v>ELEMENTARY</v>
      </c>
      <c r="G472" s="297" t="str">
        <f t="shared" si="22"/>
        <v/>
      </c>
      <c r="H472" s="297" t="str">
        <f>IF(OR(G472="",G472="toute race"),"",VLOOKUP(G472,'Types de monstres'!$F$2:$G$49,2,FALSE))</f>
        <v/>
      </c>
      <c r="I472" s="297" t="s">
        <v>4371</v>
      </c>
      <c r="J472" s="302">
        <v>17</v>
      </c>
      <c r="K472" s="302">
        <v>328</v>
      </c>
      <c r="L472" s="297" t="s">
        <v>4113</v>
      </c>
      <c r="M472" s="297" t="s">
        <v>4193</v>
      </c>
      <c r="N472" s="297" t="str">
        <f>IF(M472="sans alignement","",IF(M472="tout alignement", """1_LB"", ""2_NB"", ""3_CB"", ""4_LN"", ""5_NN"", ""6_CN"", ""7_LM"", ""8_NM"", ""9_CM""",IF(M472="tout alignement non bon", """4_LN"", ""5_NN"", ""6_CN"", ""7_LM"", ""8_NM"", ""9_CM""",IF(M472="tout alignement mauvais", """7_LM"", ""8_NM"", ""9_CM""",IF(M472="tout alignement chaotique", """3_CB"", ""6_CN"", ""9_CM""",IF(M472="tout alignement non loyal", """2_NB"", ""3_CB"", ""5_NN"", ""6_CN"", ""8_NM"", ""9_CM""",""""&amp;VLOOKUP(M472,Alignements!$A$2:$B$10,2, FALSE)&amp;""""))))))</f>
        <v>"5_NN"</v>
      </c>
      <c r="O472" s="297"/>
      <c r="P472" t="str">
        <f t="shared" si="23"/>
        <v>"Leviathan": {
  "Name" : "Leviathan",
  "VO" : "Leviathan",
  "Family" : "ELEMENTARY",
  "Species" : [""],
  "FP" : "20", 
  "Size" : "Gig",
  "AC" : 17,
  "HP" : 328, 
  "Speed" : "nage",
  "Alignments" : ["5_NN"],
  "Legendary" : ""}</v>
      </c>
    </row>
    <row r="473" spans="1:16">
      <c r="A473" s="61" t="s">
        <v>4998</v>
      </c>
      <c r="B473" s="298" t="s">
        <v>4999</v>
      </c>
      <c r="C473" s="306">
        <v>0</v>
      </c>
      <c r="D473" s="298" t="s">
        <v>4128</v>
      </c>
      <c r="E473" s="297" t="str">
        <f t="shared" si="21"/>
        <v>Bête</v>
      </c>
      <c r="F473" s="297" t="str">
        <f>VLOOKUP(E473,'Types de monstres'!$A$2:$B$17,2,FALSE)</f>
        <v>BEAST</v>
      </c>
      <c r="G473" s="297" t="str">
        <f t="shared" si="22"/>
        <v/>
      </c>
      <c r="H473" s="297" t="str">
        <f>IF(OR(G473="",G473="toute race"),"",VLOOKUP(G473,'Types de monstres'!$F$2:$G$49,2,FALSE))</f>
        <v/>
      </c>
      <c r="I473" s="298" t="s">
        <v>4154</v>
      </c>
      <c r="J473" s="300">
        <v>10</v>
      </c>
      <c r="K473" s="300">
        <v>2</v>
      </c>
      <c r="L473" s="298"/>
      <c r="M473" s="298" t="s">
        <v>4130</v>
      </c>
      <c r="N473" s="297" t="str">
        <f>IF(M473="sans alignement","",IF(M473="tout alignement", """1_LB"", ""2_NB"", ""3_CB"", ""4_LN"", ""5_NN"", ""6_CN"", ""7_LM"", ""8_NM"", ""9_CM""",IF(M473="tout alignement non bon", """4_LN"", ""5_NN"", ""6_CN"", ""7_LM"", ""8_NM"", ""9_CM""",IF(M473="tout alignement mauvais", """7_LM"", ""8_NM"", ""9_CM""",IF(M473="tout alignement chaotique", """3_CB"", ""6_CN"", ""9_CM""",IF(M473="tout alignement non loyal", """2_NB"", ""3_CB"", ""5_NN"", ""6_CN"", ""8_NM"", ""9_CM""",""""&amp;VLOOKUP(M473,Alignements!$A$2:$B$10,2, FALSE)&amp;""""))))))</f>
        <v/>
      </c>
      <c r="O473" s="298"/>
      <c r="P473" t="str">
        <f t="shared" si="23"/>
        <v>"Lézard": {
  "Name" : "Lézard",
  "VO" : "Lizard",
  "Family" : "BEAST",
  "Species" : [""],
  "FP" : "0", 
  "Size" : "TP",
  "AC" : 10,
  "HP" : 2, 
  "Speed" : "",
  "Alignments" : [],
  "Legendary" : ""}</v>
      </c>
    </row>
    <row r="474" spans="1:16">
      <c r="A474" s="61" t="s">
        <v>5000</v>
      </c>
      <c r="B474" s="297" t="s">
        <v>5001</v>
      </c>
      <c r="C474" s="305" t="s">
        <v>5618</v>
      </c>
      <c r="D474" s="297" t="s">
        <v>4128</v>
      </c>
      <c r="E474" s="297" t="str">
        <f t="shared" si="21"/>
        <v>Bête</v>
      </c>
      <c r="F474" s="297" t="str">
        <f>VLOOKUP(E474,'Types de monstres'!$A$2:$B$17,2,FALSE)</f>
        <v>BEAST</v>
      </c>
      <c r="G474" s="297" t="str">
        <f t="shared" si="22"/>
        <v/>
      </c>
      <c r="H474" s="297" t="str">
        <f>IF(OR(G474="",G474="toute race"),"",VLOOKUP(G474,'Types de monstres'!$F$2:$G$49,2,FALSE))</f>
        <v/>
      </c>
      <c r="I474" s="297" t="s">
        <v>4112</v>
      </c>
      <c r="J474" s="302">
        <v>12</v>
      </c>
      <c r="K474" s="302">
        <v>19</v>
      </c>
      <c r="L474" s="297"/>
      <c r="M474" s="297" t="s">
        <v>4130</v>
      </c>
      <c r="N474" s="297" t="str">
        <f>IF(M474="sans alignement","",IF(M474="tout alignement", """1_LB"", ""2_NB"", ""3_CB"", ""4_LN"", ""5_NN"", ""6_CN"", ""7_LM"", ""8_NM"", ""9_CM""",IF(M474="tout alignement non bon", """4_LN"", ""5_NN"", ""6_CN"", ""7_LM"", ""8_NM"", ""9_CM""",IF(M474="tout alignement mauvais", """7_LM"", ""8_NM"", ""9_CM""",IF(M474="tout alignement chaotique", """3_CB"", ""6_CN"", ""9_CM""",IF(M474="tout alignement non loyal", """2_NB"", ""3_CB"", ""5_NN"", ""6_CN"", ""8_NM"", ""9_CM""",""""&amp;VLOOKUP(M474,Alignements!$A$2:$B$10,2, FALSE)&amp;""""))))))</f>
        <v/>
      </c>
      <c r="O474" s="297"/>
      <c r="P474" t="str">
        <f t="shared" si="23"/>
        <v>"Lézard géant": {
  "Name" : "Lézard géant",
  "VO" : "Giant Lizard",
  "Family" : "BEAST",
  "Species" : [""],
  "FP" : "1/4", 
  "Size" : "G",
  "AC" : 12,
  "HP" : 19, 
  "Speed" : "",
  "Alignments" : [],
  "Legendary" : ""}</v>
      </c>
    </row>
    <row r="475" spans="1:16">
      <c r="A475" s="299" t="s">
        <v>5002</v>
      </c>
      <c r="B475" s="298" t="s">
        <v>5003</v>
      </c>
      <c r="C475" s="306">
        <v>3</v>
      </c>
      <c r="D475" s="298" t="s">
        <v>4167</v>
      </c>
      <c r="E475" s="297" t="str">
        <f t="shared" si="21"/>
        <v>Plante</v>
      </c>
      <c r="F475" s="297" t="str">
        <f>VLOOKUP(E475,'Types de monstres'!$A$2:$B$17,2,FALSE)</f>
        <v>PLANT</v>
      </c>
      <c r="G475" s="297" t="str">
        <f t="shared" si="22"/>
        <v/>
      </c>
      <c r="H475" s="297" t="str">
        <f>IF(OR(G475="",G475="toute race"),"",VLOOKUP(G475,'Types de monstres'!$F$2:$G$49,2,FALSE))</f>
        <v/>
      </c>
      <c r="I475" s="298" t="s">
        <v>4112</v>
      </c>
      <c r="J475" s="300">
        <v>13</v>
      </c>
      <c r="K475" s="300">
        <v>85</v>
      </c>
      <c r="L475" s="298"/>
      <c r="M475" s="298" t="s">
        <v>4130</v>
      </c>
      <c r="N475" s="297" t="str">
        <f>IF(M475="sans alignement","",IF(M475="tout alignement", """1_LB"", ""2_NB"", ""3_CB"", ""4_LN"", ""5_NN"", ""6_CN"", ""7_LM"", ""8_NM"", ""9_CM""",IF(M475="tout alignement non bon", """4_LN"", ""5_NN"", ""6_CN"", ""7_LM"", ""8_NM"", ""9_CM""",IF(M475="tout alignement mauvais", """7_LM"", ""8_NM"", ""9_CM""",IF(M475="tout alignement chaotique", """3_CB"", ""6_CN"", ""9_CM""",IF(M475="tout alignement non loyal", """2_NB"", ""3_CB"", ""5_NN"", ""6_CN"", ""8_NM"", ""9_CM""",""""&amp;VLOOKUP(M475,Alignements!$A$2:$B$10,2, FALSE)&amp;""""))))))</f>
        <v/>
      </c>
      <c r="O475" s="298"/>
      <c r="P475" t="str">
        <f t="shared" si="23"/>
        <v>"Liane meurtrière": {
  "Name" : "Liane meurtrière",
  "VO" : "Assassin Vine",
  "Family" : "PLANT",
  "Species" : [""],
  "FP" : "3", 
  "Size" : "G",
  "AC" : 13,
  "HP" : 85, 
  "Speed" : "",
  "Alignments" : [],
  "Legendary" : ""}</v>
      </c>
    </row>
    <row r="476" spans="1:16" ht="21">
      <c r="A476" s="61" t="s">
        <v>5004</v>
      </c>
      <c r="B476" s="297" t="s">
        <v>5005</v>
      </c>
      <c r="C476" s="305">
        <v>21</v>
      </c>
      <c r="D476" s="297" t="s">
        <v>4117</v>
      </c>
      <c r="E476" s="297" t="str">
        <f t="shared" si="21"/>
        <v>Mort-vivant</v>
      </c>
      <c r="F476" s="297" t="str">
        <f>VLOOKUP(E476,'Types de monstres'!$A$2:$B$17,2,FALSE)</f>
        <v>UNDEAD</v>
      </c>
      <c r="G476" s="297" t="str">
        <f t="shared" si="22"/>
        <v/>
      </c>
      <c r="H476" s="297" t="str">
        <f>IF(OR(G476="",G476="toute race"),"",VLOOKUP(G476,'Types de monstres'!$F$2:$G$49,2,FALSE))</f>
        <v/>
      </c>
      <c r="I476" s="297" t="s">
        <v>4091</v>
      </c>
      <c r="J476" s="302">
        <v>17</v>
      </c>
      <c r="K476" s="302">
        <v>135</v>
      </c>
      <c r="L476" s="297"/>
      <c r="M476" s="297" t="s">
        <v>4134</v>
      </c>
      <c r="N476" s="297" t="str">
        <f>IF(M476="sans alignement","",IF(M476="tout alignement", """1_LB"", ""2_NB"", ""3_CB"", ""4_LN"", ""5_NN"", ""6_CN"", ""7_LM"", ""8_NM"", ""9_CM""",IF(M476="tout alignement non bon", """4_LN"", ""5_NN"", ""6_CN"", ""7_LM"", ""8_NM"", ""9_CM""",IF(M476="tout alignement mauvais", """7_LM"", ""8_NM"", ""9_CM""",IF(M476="tout alignement chaotique", """3_CB"", ""6_CN"", ""9_CM""",IF(M476="tout alignement non loyal", """2_NB"", ""3_CB"", ""5_NN"", ""6_CN"", ""8_NM"", ""9_CM""",""""&amp;VLOOKUP(M476,Alignements!$A$2:$B$10,2, FALSE)&amp;""""))))))</f>
        <v>"7_LM", "8_NM", "9_CM"</v>
      </c>
      <c r="O476" s="297" t="s">
        <v>4114</v>
      </c>
      <c r="P476" t="str">
        <f t="shared" si="23"/>
        <v>"Liche": {
  "Name" : "Liche",
  "VO" : "Lich",
  "Family" : "UNDEAD",
  "Species" : [""],
  "FP" : "21", 
  "Size" : "M",
  "AC" : 17,
  "HP" : 135, 
  "Speed" : "",
  "Alignments" : ["7_LM", "8_NM", "9_CM"],
  "Legendary" : "Légendaire"}</v>
      </c>
    </row>
    <row r="477" spans="1:16">
      <c r="A477" s="61" t="s">
        <v>5006</v>
      </c>
      <c r="B477" s="298" t="s">
        <v>5007</v>
      </c>
      <c r="C477" s="306">
        <v>5</v>
      </c>
      <c r="D477" s="298" t="s">
        <v>2598</v>
      </c>
      <c r="E477" s="297" t="str">
        <f t="shared" si="21"/>
        <v>Céleste</v>
      </c>
      <c r="F477" s="297" t="str">
        <f>VLOOKUP(E477,'Types de monstres'!$A$2:$B$17,2,FALSE)</f>
        <v>CELESTIAL</v>
      </c>
      <c r="G477" s="297" t="str">
        <f t="shared" si="22"/>
        <v/>
      </c>
      <c r="H477" s="297" t="str">
        <f>IF(OR(G477="",G477="toute race"),"",VLOOKUP(G477,'Types de monstres'!$F$2:$G$49,2,FALSE))</f>
        <v/>
      </c>
      <c r="I477" s="298" t="s">
        <v>4112</v>
      </c>
      <c r="J477" s="300">
        <v>12</v>
      </c>
      <c r="K477" s="300">
        <v>67</v>
      </c>
      <c r="L477" s="298"/>
      <c r="M477" s="298" t="s">
        <v>4318</v>
      </c>
      <c r="N477" s="297" t="str">
        <f>IF(M477="sans alignement","",IF(M477="tout alignement", """1_LB"", ""2_NB"", ""3_CB"", ""4_LN"", ""5_NN"", ""6_CN"", ""7_LM"", ""8_NM"", ""9_CM""",IF(M477="tout alignement non bon", """4_LN"", ""5_NN"", ""6_CN"", ""7_LM"", ""8_NM"", ""9_CM""",IF(M477="tout alignement mauvais", """7_LM"", ""8_NM"", ""9_CM""",IF(M477="tout alignement chaotique", """3_CB"", ""6_CN"", ""9_CM""",IF(M477="tout alignement non loyal", """2_NB"", ""3_CB"", ""5_NN"", ""6_CN"", ""8_NM"", ""9_CM""",""""&amp;VLOOKUP(M477,Alignements!$A$2:$B$10,2, FALSE)&amp;""""))))))</f>
        <v>"1_LB"</v>
      </c>
      <c r="O477" s="298" t="s">
        <v>4114</v>
      </c>
      <c r="P477" t="str">
        <f t="shared" si="23"/>
        <v>"Licorne": {
  "Name" : "Licorne",
  "VO" : "Unicorn",
  "Family" : "CELESTIAL",
  "Species" : [""],
  "FP" : "5", 
  "Size" : "G",
  "AC" : 12,
  "HP" : 67, 
  "Speed" : "",
  "Alignments" : ["1_LB"],
  "Legendary" : "Légendaire"}</v>
      </c>
    </row>
    <row r="478" spans="1:16">
      <c r="A478" s="61" t="s">
        <v>5008</v>
      </c>
      <c r="B478" s="297" t="s">
        <v>5009</v>
      </c>
      <c r="C478" s="305" t="s">
        <v>5620</v>
      </c>
      <c r="D478" s="297" t="s">
        <v>4167</v>
      </c>
      <c r="E478" s="297" t="str">
        <f t="shared" si="21"/>
        <v>Plante</v>
      </c>
      <c r="F478" s="297" t="str">
        <f>VLOOKUP(E478,'Types de monstres'!$A$2:$B$17,2,FALSE)</f>
        <v>PLANT</v>
      </c>
      <c r="G478" s="297" t="str">
        <f t="shared" si="22"/>
        <v/>
      </c>
      <c r="H478" s="297" t="str">
        <f>IF(OR(G478="",G478="toute race"),"",VLOOKUP(G478,'Types de monstres'!$F$2:$G$49,2,FALSE))</f>
        <v/>
      </c>
      <c r="I478" s="297" t="s">
        <v>4091</v>
      </c>
      <c r="J478" s="302">
        <v>12</v>
      </c>
      <c r="K478" s="302">
        <v>26</v>
      </c>
      <c r="L478" s="297"/>
      <c r="M478" s="297" t="s">
        <v>4118</v>
      </c>
      <c r="N478" s="297" t="str">
        <f>IF(M478="sans alignement","",IF(M478="tout alignement", """1_LB"", ""2_NB"", ""3_CB"", ""4_LN"", ""5_NN"", ""6_CN"", ""7_LM"", ""8_NM"", ""9_CM""",IF(M478="tout alignement non bon", """4_LN"", ""5_NN"", ""6_CN"", ""7_LM"", ""8_NM"", ""9_CM""",IF(M478="tout alignement mauvais", """7_LM"", ""8_NM"", ""9_CM""",IF(M478="tout alignement chaotique", """3_CB"", ""6_CN"", ""9_CM""",IF(M478="tout alignement non loyal", """2_NB"", ""3_CB"", ""5_NN"", ""6_CN"", ""8_NM"", ""9_CM""",""""&amp;VLOOKUP(M478,Alignements!$A$2:$B$10,2, FALSE)&amp;""""))))))</f>
        <v>"8_NM"</v>
      </c>
      <c r="O478" s="297"/>
      <c r="P478" t="str">
        <f t="shared" si="23"/>
        <v>"Lierre infecté": {
  "Name" : "Lierre infecté",
  "VO" : "Vine Blight",
  "Family" : "PLANT",
  "Species" : [""],
  "FP" : "1/2", 
  "Size" : "M",
  "AC" : 12,
  "HP" : 26, 
  "Speed" : "",
  "Alignments" : ["8_NM"],
  "Legendary" : ""}</v>
      </c>
    </row>
    <row r="479" spans="1:16" ht="21">
      <c r="A479" s="299" t="s">
        <v>5010</v>
      </c>
      <c r="B479" s="298" t="s">
        <v>5011</v>
      </c>
      <c r="C479" s="306">
        <v>2</v>
      </c>
      <c r="D479" s="298" t="s">
        <v>4167</v>
      </c>
      <c r="E479" s="297" t="str">
        <f t="shared" si="21"/>
        <v>Plante</v>
      </c>
      <c r="F479" s="297" t="str">
        <f>VLOOKUP(E479,'Types de monstres'!$A$2:$B$17,2,FALSE)</f>
        <v>PLANT</v>
      </c>
      <c r="G479" s="297" t="str">
        <f t="shared" si="22"/>
        <v/>
      </c>
      <c r="H479" s="297" t="str">
        <f>IF(OR(G479="",G479="toute race"),"",VLOOKUP(G479,'Types de monstres'!$F$2:$G$49,2,FALSE))</f>
        <v/>
      </c>
      <c r="I479" s="298" t="s">
        <v>4091</v>
      </c>
      <c r="J479" s="300">
        <v>6</v>
      </c>
      <c r="K479" s="300">
        <v>60</v>
      </c>
      <c r="L479" s="298"/>
      <c r="M479" s="298" t="s">
        <v>4130</v>
      </c>
      <c r="N479" s="297" t="str">
        <f>IF(M479="sans alignement","",IF(M479="tout alignement", """1_LB"", ""2_NB"", ""3_CB"", ""4_LN"", ""5_NN"", ""6_CN"", ""7_LM"", ""8_NM"", ""9_CM""",IF(M479="tout alignement non bon", """4_LN"", ""5_NN"", ""6_CN"", ""7_LM"", ""8_NM"", ""9_CM""",IF(M479="tout alignement mauvais", """7_LM"", ""8_NM"", ""9_CM""",IF(M479="tout alignement chaotique", """3_CB"", ""6_CN"", ""9_CM""",IF(M479="tout alignement non loyal", """2_NB"", ""3_CB"", ""5_NN"", ""6_CN"", ""8_NM"", ""9_CM""",""""&amp;VLOOKUP(M479,Alignements!$A$2:$B$10,2, FALSE)&amp;""""))))))</f>
        <v/>
      </c>
      <c r="O479" s="298"/>
      <c r="P479" t="str">
        <f t="shared" si="23"/>
        <v>"Lierre musqué jaune": {
  "Name" : "Lierre musqué jaune",
  "VO" : "Yellow musk creeper",
  "Family" : "PLANT",
  "Species" : [""],
  "FP" : "2", 
  "Size" : "M",
  "AC" : 6,
  "HP" : 60, 
  "Speed" : "",
  "Alignments" : [],
  "Legendary" : ""}</v>
      </c>
    </row>
    <row r="480" spans="1:16">
      <c r="A480" s="61" t="s">
        <v>5012</v>
      </c>
      <c r="B480" s="297" t="s">
        <v>5012</v>
      </c>
      <c r="C480" s="305">
        <v>1</v>
      </c>
      <c r="D480" s="297" t="s">
        <v>4128</v>
      </c>
      <c r="E480" s="297" t="str">
        <f t="shared" si="21"/>
        <v>Bête</v>
      </c>
      <c r="F480" s="297" t="str">
        <f>VLOOKUP(E480,'Types de monstres'!$A$2:$B$17,2,FALSE)</f>
        <v>BEAST</v>
      </c>
      <c r="G480" s="297" t="str">
        <f t="shared" si="22"/>
        <v/>
      </c>
      <c r="H480" s="297" t="str">
        <f>IF(OR(G480="",G480="toute race"),"",VLOOKUP(G480,'Types de monstres'!$F$2:$G$49,2,FALSE))</f>
        <v/>
      </c>
      <c r="I480" s="297" t="s">
        <v>4112</v>
      </c>
      <c r="J480" s="302">
        <v>12</v>
      </c>
      <c r="K480" s="302">
        <v>26</v>
      </c>
      <c r="L480" s="297"/>
      <c r="M480" s="297" t="s">
        <v>4130</v>
      </c>
      <c r="N480" s="297" t="str">
        <f>IF(M480="sans alignement","",IF(M480="tout alignement", """1_LB"", ""2_NB"", ""3_CB"", ""4_LN"", ""5_NN"", ""6_CN"", ""7_LM"", ""8_NM"", ""9_CM""",IF(M480="tout alignement non bon", """4_LN"", ""5_NN"", ""6_CN"", ""7_LM"", ""8_NM"", ""9_CM""",IF(M480="tout alignement mauvais", """7_LM"", ""8_NM"", ""9_CM""",IF(M480="tout alignement chaotique", """3_CB"", ""6_CN"", ""9_CM""",IF(M480="tout alignement non loyal", """2_NB"", ""3_CB"", ""5_NN"", ""6_CN"", ""8_NM"", ""9_CM""",""""&amp;VLOOKUP(M480,Alignements!$A$2:$B$10,2, FALSE)&amp;""""))))))</f>
        <v/>
      </c>
      <c r="O480" s="297"/>
      <c r="P480" t="str">
        <f t="shared" si="23"/>
        <v>"Lion": {
  "Name" : "Lion",
  "VO" : "Lion",
  "Family" : "BEAST",
  "Species" : [""],
  "FP" : "1", 
  "Size" : "G",
  "AC" : 12,
  "HP" : 26, 
  "Speed" : "",
  "Alignments" : [],
  "Legendary" : ""}</v>
      </c>
    </row>
    <row r="481" spans="1:16">
      <c r="A481" s="299" t="s">
        <v>5013</v>
      </c>
      <c r="B481" s="298" t="s">
        <v>5014</v>
      </c>
      <c r="C481" s="306">
        <v>1</v>
      </c>
      <c r="D481" s="298" t="s">
        <v>4128</v>
      </c>
      <c r="E481" s="297" t="str">
        <f t="shared" si="21"/>
        <v>Bête</v>
      </c>
      <c r="F481" s="297" t="str">
        <f>VLOOKUP(E481,'Types de monstres'!$A$2:$B$17,2,FALSE)</f>
        <v>BEAST</v>
      </c>
      <c r="G481" s="297" t="str">
        <f t="shared" si="22"/>
        <v/>
      </c>
      <c r="H481" s="297" t="str">
        <f>IF(OR(G481="",G481="toute race"),"",VLOOKUP(G481,'Types de monstres'!$F$2:$G$49,2,FALSE))</f>
        <v/>
      </c>
      <c r="I481" s="298" t="s">
        <v>4091</v>
      </c>
      <c r="J481" s="300">
        <v>13</v>
      </c>
      <c r="K481" s="300">
        <v>19</v>
      </c>
      <c r="L481" s="298"/>
      <c r="M481" s="298" t="s">
        <v>4130</v>
      </c>
      <c r="N481" s="297" t="str">
        <f>IF(M481="sans alignement","",IF(M481="tout alignement", """1_LB"", ""2_NB"", ""3_CB"", ""4_LN"", ""5_NN"", ""6_CN"", ""7_LM"", ""8_NM"", ""9_CM""",IF(M481="tout alignement non bon", """4_LN"", ""5_NN"", ""6_CN"", ""7_LM"", ""8_NM"", ""9_CM""",IF(M481="tout alignement mauvais", """7_LM"", ""8_NM"", ""9_CM""",IF(M481="tout alignement chaotique", """3_CB"", ""6_CN"", ""9_CM""",IF(M481="tout alignement non loyal", """2_NB"", ""3_CB"", ""5_NN"", ""6_CN"", ""8_NM"", ""9_CM""",""""&amp;VLOOKUP(M481,Alignements!$A$2:$B$10,2, FALSE)&amp;""""))))))</f>
        <v/>
      </c>
      <c r="O481" s="298"/>
      <c r="P481" t="str">
        <f t="shared" si="23"/>
        <v>"Longues-griffes": {
  "Name" : "Longues-griffes",
  "VO" : "Clawfoot",
  "Family" : "BEAST",
  "Species" : [""],
  "FP" : "1", 
  "Size" : "M",
  "AC" : 13,
  "HP" : 19, 
  "Speed" : "",
  "Alignments" : [],
  "Legendary" : ""}</v>
      </c>
    </row>
    <row r="482" spans="1:16">
      <c r="A482" s="61" t="s">
        <v>5015</v>
      </c>
      <c r="B482" s="297" t="s">
        <v>5016</v>
      </c>
      <c r="C482" s="305" t="s">
        <v>5618</v>
      </c>
      <c r="D482" s="297" t="s">
        <v>4128</v>
      </c>
      <c r="E482" s="297" t="str">
        <f t="shared" si="21"/>
        <v>Bête</v>
      </c>
      <c r="F482" s="297" t="str">
        <f>VLOOKUP(E482,'Types de monstres'!$A$2:$B$17,2,FALSE)</f>
        <v>BEAST</v>
      </c>
      <c r="G482" s="297" t="str">
        <f t="shared" si="22"/>
        <v/>
      </c>
      <c r="H482" s="297" t="str">
        <f>IF(OR(G482="",G482="toute race"),"",VLOOKUP(G482,'Types de monstres'!$F$2:$G$49,2,FALSE))</f>
        <v/>
      </c>
      <c r="I482" s="297" t="s">
        <v>4091</v>
      </c>
      <c r="J482" s="302">
        <v>13</v>
      </c>
      <c r="K482" s="302">
        <v>11</v>
      </c>
      <c r="L482" s="297"/>
      <c r="M482" s="297" t="s">
        <v>4130</v>
      </c>
      <c r="N482" s="297" t="str">
        <f>IF(M482="sans alignement","",IF(M482="tout alignement", """1_LB"", ""2_NB"", ""3_CB"", ""4_LN"", ""5_NN"", ""6_CN"", ""7_LM"", ""8_NM"", ""9_CM""",IF(M482="tout alignement non bon", """4_LN"", ""5_NN"", ""6_CN"", ""7_LM"", ""8_NM"", ""9_CM""",IF(M482="tout alignement mauvais", """7_LM"", ""8_NM"", ""9_CM""",IF(M482="tout alignement chaotique", """3_CB"", ""6_CN"", ""9_CM""",IF(M482="tout alignement non loyal", """2_NB"", ""3_CB"", ""5_NN"", ""6_CN"", ""8_NM"", ""9_CM""",""""&amp;VLOOKUP(M482,Alignements!$A$2:$B$10,2, FALSE)&amp;""""))))))</f>
        <v/>
      </c>
      <c r="O482" s="297"/>
      <c r="P482" t="str">
        <f t="shared" si="23"/>
        <v>"Loup": {
  "Name" : "Loup",
  "VO" : "Wolf",
  "Family" : "BEAST",
  "Species" : [""],
  "FP" : "1/4", 
  "Size" : "M",
  "AC" : 13,
  "HP" : 11, 
  "Speed" : "",
  "Alignments" : [],
  "Legendary" : ""}</v>
      </c>
    </row>
    <row r="483" spans="1:16">
      <c r="A483" s="61" t="s">
        <v>5017</v>
      </c>
      <c r="B483" s="298" t="s">
        <v>5018</v>
      </c>
      <c r="C483" s="306">
        <v>3</v>
      </c>
      <c r="D483" s="298" t="s">
        <v>4121</v>
      </c>
      <c r="E483" s="297" t="str">
        <f t="shared" si="21"/>
        <v>Créature monstrueuse</v>
      </c>
      <c r="F483" s="297" t="str">
        <f>VLOOKUP(E483,'Types de monstres'!$A$2:$B$17,2,FALSE)</f>
        <v>MONSTROUS_CREATURE</v>
      </c>
      <c r="G483" s="297" t="str">
        <f t="shared" si="22"/>
        <v/>
      </c>
      <c r="H483" s="297" t="str">
        <f>IF(OR(G483="",G483="toute race"),"",VLOOKUP(G483,'Types de monstres'!$F$2:$G$49,2,FALSE))</f>
        <v/>
      </c>
      <c r="I483" s="298" t="s">
        <v>4112</v>
      </c>
      <c r="J483" s="300">
        <v>13</v>
      </c>
      <c r="K483" s="300">
        <v>75</v>
      </c>
      <c r="L483" s="298"/>
      <c r="M483" s="298" t="s">
        <v>4118</v>
      </c>
      <c r="N483" s="297" t="str">
        <f>IF(M483="sans alignement","",IF(M483="tout alignement", """1_LB"", ""2_NB"", ""3_CB"", ""4_LN"", ""5_NN"", ""6_CN"", ""7_LM"", ""8_NM"", ""9_CM""",IF(M483="tout alignement non bon", """4_LN"", ""5_NN"", ""6_CN"", ""7_LM"", ""8_NM"", ""9_CM""",IF(M483="tout alignement mauvais", """7_LM"", ""8_NM"", ""9_CM""",IF(M483="tout alignement chaotique", """3_CB"", ""6_CN"", ""9_CM""",IF(M483="tout alignement non loyal", """2_NB"", ""3_CB"", ""5_NN"", ""6_CN"", ""8_NM"", ""9_CM""",""""&amp;VLOOKUP(M483,Alignements!$A$2:$B$10,2, FALSE)&amp;""""))))))</f>
        <v>"8_NM"</v>
      </c>
      <c r="O483" s="298"/>
      <c r="P483" t="str">
        <f t="shared" si="23"/>
        <v>"Loup arctique": {
  "Name" : "Loup arctique",
  "VO" : "Winter Wolf",
  "Family" : "MONSTROUS_CREATURE",
  "Species" : [""],
  "FP" : "3", 
  "Size" : "G",
  "AC" : 13,
  "HP" : 75, 
  "Speed" : "",
  "Alignments" : ["8_NM"],
  "Legendary" : ""}</v>
      </c>
    </row>
    <row r="484" spans="1:16">
      <c r="A484" s="61" t="s">
        <v>5019</v>
      </c>
      <c r="B484" s="297" t="s">
        <v>5020</v>
      </c>
      <c r="C484" s="305">
        <v>1</v>
      </c>
      <c r="D484" s="297" t="s">
        <v>4128</v>
      </c>
      <c r="E484" s="297" t="str">
        <f t="shared" si="21"/>
        <v>Bête</v>
      </c>
      <c r="F484" s="297" t="str">
        <f>VLOOKUP(E484,'Types de monstres'!$A$2:$B$17,2,FALSE)</f>
        <v>BEAST</v>
      </c>
      <c r="G484" s="297" t="str">
        <f t="shared" si="22"/>
        <v/>
      </c>
      <c r="H484" s="297" t="str">
        <f>IF(OR(G484="",G484="toute race"),"",VLOOKUP(G484,'Types de monstres'!$F$2:$G$49,2,FALSE))</f>
        <v/>
      </c>
      <c r="I484" s="297" t="s">
        <v>4112</v>
      </c>
      <c r="J484" s="302">
        <v>14</v>
      </c>
      <c r="K484" s="302">
        <v>37</v>
      </c>
      <c r="L484" s="297"/>
      <c r="M484" s="297" t="s">
        <v>4130</v>
      </c>
      <c r="N484" s="297" t="str">
        <f>IF(M484="sans alignement","",IF(M484="tout alignement", """1_LB"", ""2_NB"", ""3_CB"", ""4_LN"", ""5_NN"", ""6_CN"", ""7_LM"", ""8_NM"", ""9_CM""",IF(M484="tout alignement non bon", """4_LN"", ""5_NN"", ""6_CN"", ""7_LM"", ""8_NM"", ""9_CM""",IF(M484="tout alignement mauvais", """7_LM"", ""8_NM"", ""9_CM""",IF(M484="tout alignement chaotique", """3_CB"", ""6_CN"", ""9_CM""",IF(M484="tout alignement non loyal", """2_NB"", ""3_CB"", ""5_NN"", ""6_CN"", ""8_NM"", ""9_CM""",""""&amp;VLOOKUP(M484,Alignements!$A$2:$B$10,2, FALSE)&amp;""""))))))</f>
        <v/>
      </c>
      <c r="O484" s="297"/>
      <c r="P484" t="str">
        <f t="shared" si="23"/>
        <v>"Loup sanguinaire": {
  "Name" : "Loup sanguinaire",
  "VO" : "Dire Wolf",
  "Family" : "BEAST",
  "Species" : [""],
  "FP" : "1", 
  "Size" : "G",
  "AC" : 14,
  "HP" : 37, 
  "Speed" : "",
  "Alignments" : [],
  "Legendary" : ""}</v>
      </c>
    </row>
    <row r="485" spans="1:16" ht="21">
      <c r="A485" s="61" t="s">
        <v>5021</v>
      </c>
      <c r="B485" s="298" t="s">
        <v>5022</v>
      </c>
      <c r="C485" s="306">
        <v>3</v>
      </c>
      <c r="D485" s="298" t="s">
        <v>4351</v>
      </c>
      <c r="E485" s="297" t="str">
        <f t="shared" si="21"/>
        <v>Humanoïde</v>
      </c>
      <c r="F485" s="297" t="str">
        <f>VLOOKUP(E485,'Types de monstres'!$A$2:$B$17,2,FALSE)</f>
        <v>HUMANOID</v>
      </c>
      <c r="G485" s="297" t="str">
        <f t="shared" si="22"/>
        <v>humain, métamorphe</v>
      </c>
      <c r="H485" s="297" t="s">
        <v>5721</v>
      </c>
      <c r="I485" s="298" t="s">
        <v>4091</v>
      </c>
      <c r="J485" s="300">
        <v>11</v>
      </c>
      <c r="K485" s="300">
        <v>58</v>
      </c>
      <c r="L485" s="298"/>
      <c r="M485" s="298" t="s">
        <v>4137</v>
      </c>
      <c r="N485" s="297" t="str">
        <f>IF(M485="sans alignement","",IF(M485="tout alignement", """1_LB"", ""2_NB"", ""3_CB"", ""4_LN"", ""5_NN"", ""6_CN"", ""7_LM"", ""8_NM"", ""9_CM""",IF(M485="tout alignement non bon", """4_LN"", ""5_NN"", ""6_CN"", ""7_LM"", ""8_NM"", ""9_CM""",IF(M485="tout alignement mauvais", """7_LM"", ""8_NM"", ""9_CM""",IF(M485="tout alignement chaotique", """3_CB"", ""6_CN"", ""9_CM""",IF(M485="tout alignement non loyal", """2_NB"", ""3_CB"", ""5_NN"", ""6_CN"", ""8_NM"", ""9_CM""",""""&amp;VLOOKUP(M485,Alignements!$A$2:$B$10,2, FALSE)&amp;""""))))))</f>
        <v>"9_CM"</v>
      </c>
      <c r="O485" s="298"/>
      <c r="P485" t="str">
        <f t="shared" si="23"/>
        <v>"Loup-garou": {
  "Name" : "Loup-garou",
  "VO" : "Werewolf",
  "Family" : "HUMANOID",
  "Species" : ["HUMAN", "METAMORPH"],
  "FP" : "3", 
  "Size" : "M",
  "AC" : 11,
  "HP" : 58, 
  "Speed" : "",
  "Alignments" : ["9_CM"],
  "Legendary" : ""}</v>
      </c>
    </row>
    <row r="486" spans="1:16">
      <c r="A486" s="301" t="s">
        <v>5023</v>
      </c>
      <c r="B486" s="297" t="s">
        <v>5024</v>
      </c>
      <c r="C486" s="305">
        <v>16</v>
      </c>
      <c r="D486" s="297" t="s">
        <v>4181</v>
      </c>
      <c r="E486" s="297" t="str">
        <f t="shared" si="21"/>
        <v>Créature artificielle</v>
      </c>
      <c r="F486" s="297" t="str">
        <f>VLOOKUP(E486,'Types de monstres'!$A$2:$B$17,2,FALSE)</f>
        <v>ARTIFICIAL_CREATURE</v>
      </c>
      <c r="G486" s="297" t="str">
        <f t="shared" si="22"/>
        <v/>
      </c>
      <c r="H486" s="297" t="str">
        <f>IF(OR(G486="",G486="toute race"),"",VLOOKUP(G486,'Types de monstres'!$F$2:$G$49,2,FALSE))</f>
        <v/>
      </c>
      <c r="I486" s="297" t="s">
        <v>4149</v>
      </c>
      <c r="J486" s="302">
        <v>18</v>
      </c>
      <c r="K486" s="302">
        <v>216</v>
      </c>
      <c r="L486" s="297"/>
      <c r="M486" s="297" t="s">
        <v>4097</v>
      </c>
      <c r="N486" s="297" t="str">
        <f>IF(M486="sans alignement","",IF(M486="tout alignement", """1_LB"", ""2_NB"", ""3_CB"", ""4_LN"", ""5_NN"", ""6_CN"", ""7_LM"", ""8_NM"", ""9_CM""",IF(M486="tout alignement non bon", """4_LN"", ""5_NN"", ""6_CN"", ""7_LM"", ""8_NM"", ""9_CM""",IF(M486="tout alignement mauvais", """7_LM"", ""8_NM"", ""9_CM""",IF(M486="tout alignement chaotique", """3_CB"", ""6_CN"", ""9_CM""",IF(M486="tout alignement non loyal", """2_NB"", ""3_CB"", ""5_NN"", ""6_CN"", ""8_NM"", ""9_CM""",""""&amp;VLOOKUP(M486,Alignements!$A$2:$B$10,2, FALSE)&amp;""""))))))</f>
        <v>"7_LM"</v>
      </c>
      <c r="O486" s="297"/>
      <c r="P486" t="str">
        <f t="shared" si="23"/>
        <v>"Machine infernale": {
  "Name" : "Machine infernale",
  "VO" : "Hellfire Engine",
  "Family" : "ARTIFICIAL_CREATURE",
  "Species" : [""],
  "FP" : "16", 
  "Size" : "TG",
  "AC" : 18,
  "HP" : 216, 
  "Speed" : "",
  "Alignments" : ["7_LM"],
  "Legendary" : ""}</v>
      </c>
    </row>
    <row r="487" spans="1:16">
      <c r="A487" s="61" t="s">
        <v>5025</v>
      </c>
      <c r="B487" s="298" t="s">
        <v>5025</v>
      </c>
      <c r="C487" s="306">
        <v>6</v>
      </c>
      <c r="D487" s="298" t="s">
        <v>4108</v>
      </c>
      <c r="E487" s="297" t="str">
        <f t="shared" si="21"/>
        <v>Humanoïde</v>
      </c>
      <c r="F487" s="297" t="str">
        <f>VLOOKUP(E487,'Types de monstres'!$A$2:$B$17,2,FALSE)</f>
        <v>HUMANOID</v>
      </c>
      <c r="G487" s="297" t="str">
        <f t="shared" si="22"/>
        <v>toute race</v>
      </c>
      <c r="H487" s="297" t="str">
        <f>IF(OR(G487="",G487="toute race"),"",VLOOKUP(G487,'Types de monstres'!$F$2:$G$49,2,FALSE))</f>
        <v/>
      </c>
      <c r="I487" s="298" t="s">
        <v>4091</v>
      </c>
      <c r="J487" s="300">
        <v>12</v>
      </c>
      <c r="K487" s="300">
        <v>40</v>
      </c>
      <c r="L487" s="298"/>
      <c r="M487" s="298" t="s">
        <v>4109</v>
      </c>
      <c r="N487" s="297" t="str">
        <f>IF(M487="sans alignement","",IF(M487="tout alignement", """1_LB"", ""2_NB"", ""3_CB"", ""4_LN"", ""5_NN"", ""6_CN"", ""7_LM"", ""8_NM"", ""9_CM""",IF(M487="tout alignement non bon", """4_LN"", ""5_NN"", ""6_CN"", ""7_LM"", ""8_NM"", ""9_CM""",IF(M487="tout alignement mauvais", """7_LM"", ""8_NM"", ""9_CM""",IF(M487="tout alignement chaotique", """3_CB"", ""6_CN"", ""9_CM""",IF(M487="tout alignement non loyal", """2_NB"", ""3_CB"", ""5_NN"", ""6_CN"", ""8_NM"", ""9_CM""",""""&amp;VLOOKUP(M487,Alignements!$A$2:$B$10,2, FALSE)&amp;""""))))))</f>
        <v>"1_LB", "2_NB", "3_CB", "4_LN", "5_NN", "6_CN", "7_LM", "8_NM", "9_CM"</v>
      </c>
      <c r="O487" s="298"/>
      <c r="P487" t="str">
        <f t="shared" si="23"/>
        <v>"Mage": {
  "Name" : "Mage",
  "VO" : "Mage",
  "Family" : "HUMANOID",
  "Species" : [""],
  "FP" : "6", 
  "Size" : "M",
  "AC" : 12,
  "HP" : 40, 
  "Speed" : "",
  "Alignments" : ["1_LB", "2_NB", "3_CB", "4_LN", "5_NN", "6_CN", "7_LM", "8_NM", "9_CM"],
  "Legendary" : ""}</v>
      </c>
    </row>
    <row r="488" spans="1:16">
      <c r="A488" s="61" t="s">
        <v>5026</v>
      </c>
      <c r="B488" s="297" t="s">
        <v>5027</v>
      </c>
      <c r="C488" s="305" t="s">
        <v>5620</v>
      </c>
      <c r="D488" s="297" t="s">
        <v>4189</v>
      </c>
      <c r="E488" s="297" t="str">
        <f t="shared" si="21"/>
        <v>Élémentaire</v>
      </c>
      <c r="F488" s="297" t="str">
        <f>VLOOKUP(E488,'Types de monstres'!$A$2:$B$17,2,FALSE)</f>
        <v>ELEMENTARY</v>
      </c>
      <c r="G488" s="297" t="str">
        <f t="shared" si="22"/>
        <v/>
      </c>
      <c r="H488" s="297" t="str">
        <f>IF(OR(G488="",G488="toute race"),"",VLOOKUP(G488,'Types de monstres'!$F$2:$G$49,2,FALSE))</f>
        <v/>
      </c>
      <c r="I488" s="297" t="s">
        <v>4129</v>
      </c>
      <c r="J488" s="302">
        <v>14</v>
      </c>
      <c r="K488" s="302">
        <v>9</v>
      </c>
      <c r="L488" s="297"/>
      <c r="M488" s="297" t="s">
        <v>4243</v>
      </c>
      <c r="N488" s="297" t="str">
        <f>IF(M488="sans alignement","",IF(M488="tout alignement", """1_LB"", ""2_NB"", ""3_CB"", ""4_LN"", ""5_NN"", ""6_CN"", ""7_LM"", ""8_NM"", ""9_CM""",IF(M488="tout alignement non bon", """4_LN"", ""5_NN"", ""6_CN"", ""7_LM"", ""8_NM"", ""9_CM""",IF(M488="tout alignement mauvais", """7_LM"", ""8_NM"", ""9_CM""",IF(M488="tout alignement chaotique", """3_CB"", ""6_CN"", ""9_CM""",IF(M488="tout alignement non loyal", """2_NB"", ""3_CB"", ""5_NN"", ""6_CN"", ""8_NM"", ""9_CM""",""""&amp;VLOOKUP(M488,Alignements!$A$2:$B$10,2, FALSE)&amp;""""))))))</f>
        <v>"6_CN"</v>
      </c>
      <c r="O488" s="297"/>
      <c r="P488" t="str">
        <f t="shared" si="23"/>
        <v>"Magmatique": {
  "Name" : "Magmatique",
  "VO" : "Magmin",
  "Family" : "ELEMENTARY",
  "Species" : [""],
  "FP" : "1/2", 
  "Size" : "P",
  "AC" : 14,
  "HP" : 9, 
  "Speed" : "",
  "Alignments" : ["6_CN"],
  "Legendary" : ""}</v>
      </c>
    </row>
    <row r="489" spans="1:16" ht="21">
      <c r="A489" s="61" t="s">
        <v>5028</v>
      </c>
      <c r="B489" s="298" t="s">
        <v>5029</v>
      </c>
      <c r="C489" s="306">
        <v>1</v>
      </c>
      <c r="D489" s="298" t="s">
        <v>4181</v>
      </c>
      <c r="E489" s="297" t="str">
        <f t="shared" si="21"/>
        <v>Créature artificielle</v>
      </c>
      <c r="F489" s="297" t="str">
        <f>VLOOKUP(E489,'Types de monstres'!$A$2:$B$17,2,FALSE)</f>
        <v>ARTIFICIAL_CREATURE</v>
      </c>
      <c r="G489" s="297" t="str">
        <f t="shared" si="22"/>
        <v/>
      </c>
      <c r="H489" s="297" t="str">
        <f>IF(OR(G489="",G489="toute race"),"",VLOOKUP(G489,'Types de monstres'!$F$2:$G$49,2,FALSE))</f>
        <v/>
      </c>
      <c r="I489" s="298" t="s">
        <v>4091</v>
      </c>
      <c r="J489" s="300">
        <v>15</v>
      </c>
      <c r="K489" s="300">
        <v>15</v>
      </c>
      <c r="L489" s="298" t="s">
        <v>4092</v>
      </c>
      <c r="M489" s="298" t="s">
        <v>4130</v>
      </c>
      <c r="N489" s="297" t="str">
        <f>IF(M489="sans alignement","",IF(M489="tout alignement", """1_LB"", ""2_NB"", ""3_CB"", ""4_LN"", ""5_NN"", ""6_CN"", ""7_LM"", ""8_NM"", ""9_CM""",IF(M489="tout alignement non bon", """4_LN"", ""5_NN"", ""6_CN"", ""7_LM"", ""8_NM"", ""9_CM""",IF(M489="tout alignement mauvais", """7_LM"", ""8_NM"", ""9_CM""",IF(M489="tout alignement chaotique", """3_CB"", ""6_CN"", ""9_CM""",IF(M489="tout alignement non loyal", """2_NB"", ""3_CB"", ""5_NN"", ""6_CN"", ""8_NM"", ""9_CM""",""""&amp;VLOOKUP(M489,Alignements!$A$2:$B$10,2, FALSE)&amp;""""))))))</f>
        <v/>
      </c>
      <c r="O489" s="298"/>
      <c r="P489" t="str">
        <f t="shared" si="23"/>
        <v>"Mains brûlantes vivantes": {
  "Name" : "Mains brûlantes vivantes",
  "VO" : "Living Burning Hands",
  "Family" : "ARTIFICIAL_CREATURE",
  "Species" : [""],
  "FP" : "1", 
  "Size" : "M",
  "AC" : 15,
  "HP" : 15, 
  "Speed" : "vol",
  "Alignments" : [],
  "Legendary" : ""}</v>
      </c>
    </row>
    <row r="490" spans="1:16">
      <c r="A490" s="61" t="s">
        <v>5030</v>
      </c>
      <c r="B490" s="297" t="s">
        <v>5031</v>
      </c>
      <c r="C490" s="305">
        <v>4</v>
      </c>
      <c r="D490" s="297" t="s">
        <v>4242</v>
      </c>
      <c r="E490" s="297" t="str">
        <f t="shared" si="21"/>
        <v>Humanoïde</v>
      </c>
      <c r="F490" s="297" t="str">
        <f>VLOOKUP(E490,'Types de monstres'!$A$2:$B$17,2,FALSE)</f>
        <v>HUMANOID</v>
      </c>
      <c r="G490" s="297" t="str">
        <f t="shared" si="22"/>
        <v>humain</v>
      </c>
      <c r="H490" s="297" t="str">
        <f>IF(OR(G490="",G490="toute race"),"",VLOOKUP(G490,'Types de monstres'!$F$2:$G$49,2,FALSE))</f>
        <v>HUMAN</v>
      </c>
      <c r="I490" s="297" t="s">
        <v>4091</v>
      </c>
      <c r="J490" s="302">
        <v>12</v>
      </c>
      <c r="K490" s="302">
        <v>45</v>
      </c>
      <c r="L490" s="297"/>
      <c r="M490" s="297" t="s">
        <v>4118</v>
      </c>
      <c r="N490" s="297" t="str">
        <f>IF(M490="sans alignement","",IF(M490="tout alignement", """1_LB"", ""2_NB"", ""3_CB"", ""4_LN"", ""5_NN"", ""6_CN"", ""7_LM"", ""8_NM"", ""9_CM""",IF(M490="tout alignement non bon", """4_LN"", ""5_NN"", ""6_CN"", ""7_LM"", ""8_NM"", ""9_CM""",IF(M490="tout alignement mauvais", """7_LM"", ""8_NM"", ""9_CM""",IF(M490="tout alignement chaotique", """3_CB"", ""6_CN"", ""9_CM""",IF(M490="tout alignement non loyal", """2_NB"", ""3_CB"", ""5_NN"", ""6_CN"", ""8_NM"", ""9_CM""",""""&amp;VLOOKUP(M490,Alignements!$A$2:$B$10,2, FALSE)&amp;""""))))))</f>
        <v>"8_NM"</v>
      </c>
      <c r="O490" s="297"/>
      <c r="P490" t="str">
        <f t="shared" si="23"/>
        <v>"Maître des âmes": {
  "Name" : "Maître des âmes",
  "VO" : "Master of Souls",
  "Family" : "HUMANOID",
  "Species" : ["HUMAN"],
  "FP" : "4", 
  "Size" : "M",
  "AC" : 12,
  "HP" : 45, 
  "Speed" : "",
  "Alignments" : ["8_NM"],
  "Legendary" : ""}</v>
      </c>
    </row>
    <row r="491" spans="1:16">
      <c r="A491" s="61" t="s">
        <v>5032</v>
      </c>
      <c r="B491" s="298" t="s">
        <v>5033</v>
      </c>
      <c r="C491" s="306">
        <v>5</v>
      </c>
      <c r="D491" s="298" t="s">
        <v>4108</v>
      </c>
      <c r="E491" s="297" t="str">
        <f t="shared" si="21"/>
        <v>Humanoïde</v>
      </c>
      <c r="F491" s="297" t="str">
        <f>VLOOKUP(E491,'Types de monstres'!$A$2:$B$17,2,FALSE)</f>
        <v>HUMANOID</v>
      </c>
      <c r="G491" s="297" t="str">
        <f t="shared" si="22"/>
        <v>toute race</v>
      </c>
      <c r="H491" s="297" t="str">
        <f>IF(OR(G491="",G491="toute race"),"",VLOOKUP(G491,'Types de monstres'!$F$2:$G$49,2,FALSE))</f>
        <v/>
      </c>
      <c r="I491" s="298" t="s">
        <v>4091</v>
      </c>
      <c r="J491" s="300">
        <v>16</v>
      </c>
      <c r="K491" s="300">
        <v>84</v>
      </c>
      <c r="L491" s="298"/>
      <c r="M491" s="298" t="s">
        <v>4109</v>
      </c>
      <c r="N491" s="297" t="str">
        <f>IF(M491="sans alignement","",IF(M491="tout alignement", """1_LB"", ""2_NB"", ""3_CB"", ""4_LN"", ""5_NN"", ""6_CN"", ""7_LM"", ""8_NM"", ""9_CM""",IF(M491="tout alignement non bon", """4_LN"", ""5_NN"", ""6_CN"", ""7_LM"", ""8_NM"", ""9_CM""",IF(M491="tout alignement mauvais", """7_LM"", ""8_NM"", ""9_CM""",IF(M491="tout alignement chaotique", """3_CB"", ""6_CN"", ""9_CM""",IF(M491="tout alignement non loyal", """2_NB"", ""3_CB"", ""5_NN"", ""6_CN"", ""8_NM"", ""9_CM""",""""&amp;VLOOKUP(M491,Alignements!$A$2:$B$10,2, FALSE)&amp;""""))))))</f>
        <v>"1_LB", "2_NB", "3_CB", "4_LN", "5_NN", "6_CN", "7_LM", "8_NM", "9_CM"</v>
      </c>
      <c r="O491" s="298"/>
      <c r="P491" t="str">
        <f t="shared" si="23"/>
        <v>"Maître voleur": {
  "Name" : "Maître voleur",
  "VO" : "Master Thief",
  "Family" : "HUMANOID",
  "Species" : [""],
  "FP" : "5", 
  "Size" : "M",
  "AC" : 16,
  "HP" : 84, 
  "Speed" : "",
  "Alignments" : ["1_LB", "2_NB", "3_CB", "4_LN", "5_NN", "6_CN", "7_LM", "8_NM", "9_CM"],
  "Legendary" : ""}</v>
      </c>
    </row>
    <row r="492" spans="1:16">
      <c r="A492" s="61" t="s">
        <v>5034</v>
      </c>
      <c r="B492" s="297" t="s">
        <v>5034</v>
      </c>
      <c r="C492" s="305">
        <v>3</v>
      </c>
      <c r="D492" s="297" t="s">
        <v>5035</v>
      </c>
      <c r="E492" s="297" t="str">
        <f t="shared" si="21"/>
        <v>Humanoïde</v>
      </c>
      <c r="F492" s="297" t="str">
        <f>VLOOKUP(E492,'Types de monstres'!$A$2:$B$17,2,FALSE)</f>
        <v>HUMANOID</v>
      </c>
      <c r="G492" s="297" t="str">
        <f t="shared" si="22"/>
        <v>demi-elfe</v>
      </c>
      <c r="H492" s="297" t="str">
        <f>IF(OR(G492="",G492="toute race"),"",VLOOKUP(G492,'Types de monstres'!$F$2:$G$49,2,FALSE))</f>
        <v>HALF-ELF</v>
      </c>
      <c r="I492" s="297" t="s">
        <v>4091</v>
      </c>
      <c r="J492" s="302">
        <v>12</v>
      </c>
      <c r="K492" s="302">
        <v>31</v>
      </c>
      <c r="L492" s="297"/>
      <c r="M492" s="297" t="s">
        <v>4118</v>
      </c>
      <c r="N492" s="297" t="str">
        <f>IF(M492="sans alignement","",IF(M492="tout alignement", """1_LB"", ""2_NB"", ""3_CB"", ""4_LN"", ""5_NN"", ""6_CN"", ""7_LM"", ""8_NM"", ""9_CM""",IF(M492="tout alignement non bon", """4_LN"", ""5_NN"", ""6_CN"", ""7_LM"", ""8_NM"", ""9_CM""",IF(M492="tout alignement mauvais", """7_LM"", ""8_NM"", ""9_CM""",IF(M492="tout alignement chaotique", """3_CB"", ""6_CN"", ""9_CM""",IF(M492="tout alignement non loyal", """2_NB"", ""3_CB"", ""5_NN"", ""6_CN"", ""8_NM"", ""9_CM""",""""&amp;VLOOKUP(M492,Alignements!$A$2:$B$10,2, FALSE)&amp;""""))))))</f>
        <v>"8_NM"</v>
      </c>
      <c r="O492" s="297"/>
      <c r="P492" t="str">
        <f t="shared" si="23"/>
        <v>"Maldryn": {
  "Name" : "Maldryn",
  "VO" : "Maldryn",
  "Family" : "HUMANOID",
  "Species" : ["HALF-ELF"],
  "FP" : "3", 
  "Size" : "M",
  "AC" : 12,
  "HP" : 31, 
  "Speed" : "",
  "Alignments" : ["8_NM"],
  "Legendary" : ""}</v>
      </c>
    </row>
    <row r="493" spans="1:16" ht="21">
      <c r="A493" s="61" t="s">
        <v>5036</v>
      </c>
      <c r="B493" s="298" t="s">
        <v>5037</v>
      </c>
      <c r="C493" s="306" t="s">
        <v>5620</v>
      </c>
      <c r="D493" s="298" t="s">
        <v>4108</v>
      </c>
      <c r="E493" s="297" t="str">
        <f t="shared" si="21"/>
        <v>Humanoïde</v>
      </c>
      <c r="F493" s="297" t="str">
        <f>VLOOKUP(E493,'Types de monstres'!$A$2:$B$17,2,FALSE)</f>
        <v>HUMANOID</v>
      </c>
      <c r="G493" s="297" t="str">
        <f t="shared" si="22"/>
        <v>toute race</v>
      </c>
      <c r="H493" s="297" t="str">
        <f>IF(OR(G493="",G493="toute race"),"",VLOOKUP(G493,'Types de monstres'!$F$2:$G$49,2,FALSE))</f>
        <v/>
      </c>
      <c r="I493" s="298" t="s">
        <v>4091</v>
      </c>
      <c r="J493" s="300">
        <v>11</v>
      </c>
      <c r="K493" s="300">
        <v>32</v>
      </c>
      <c r="L493" s="298"/>
      <c r="M493" s="298" t="s">
        <v>4182</v>
      </c>
      <c r="N493" s="297" t="str">
        <f>IF(M493="sans alignement","",IF(M493="tout alignement", """1_LB"", ""2_NB"", ""3_CB"", ""4_LN"", ""5_NN"", ""6_CN"", ""7_LM"", ""8_NM"", ""9_CM""",IF(M493="tout alignement non bon", """4_LN"", ""5_NN"", ""6_CN"", ""7_LM"", ""8_NM"", ""9_CM""",IF(M493="tout alignement mauvais", """7_LM"", ""8_NM"", ""9_CM""",IF(M493="tout alignement chaotique", """3_CB"", ""6_CN"", ""9_CM""",IF(M493="tout alignement non loyal", """2_NB"", ""3_CB"", ""5_NN"", ""6_CN"", ""8_NM"", ""9_CM""",""""&amp;VLOOKUP(M493,Alignements!$A$2:$B$10,2, FALSE)&amp;""""))))))</f>
        <v>"4_LN", "5_NN", "6_CN", "7_LM", "8_NM", "9_CM"</v>
      </c>
      <c r="O493" s="298"/>
      <c r="P493" t="str">
        <f t="shared" si="23"/>
        <v>"Malfrat": {
  "Name" : "Malfrat",
  "VO" : "Thug",
  "Family" : "HUMANOID",
  "Species" : [""],
  "FP" : "1/2", 
  "Size" : "M",
  "AC" : 11,
  "HP" : 32, 
  "Speed" : "",
  "Alignments" : ["4_LN", "5_NN", "6_CN", "7_LM", "8_NM", "9_CM"],
  "Legendary" : ""}</v>
      </c>
    </row>
    <row r="494" spans="1:16">
      <c r="A494" s="61" t="s">
        <v>5038</v>
      </c>
      <c r="B494" s="297" t="s">
        <v>5039</v>
      </c>
      <c r="C494" s="305">
        <v>6</v>
      </c>
      <c r="D494" s="297" t="s">
        <v>4128</v>
      </c>
      <c r="E494" s="297" t="str">
        <f t="shared" si="21"/>
        <v>Bête</v>
      </c>
      <c r="F494" s="297" t="str">
        <f>VLOOKUP(E494,'Types de monstres'!$A$2:$B$17,2,FALSE)</f>
        <v>BEAST</v>
      </c>
      <c r="G494" s="297" t="str">
        <f t="shared" si="22"/>
        <v/>
      </c>
      <c r="H494" s="297" t="str">
        <f>IF(OR(G494="",G494="toute race"),"",VLOOKUP(G494,'Types de monstres'!$F$2:$G$49,2,FALSE))</f>
        <v/>
      </c>
      <c r="I494" s="297" t="s">
        <v>4149</v>
      </c>
      <c r="J494" s="302">
        <v>13</v>
      </c>
      <c r="K494" s="302">
        <v>126</v>
      </c>
      <c r="L494" s="297"/>
      <c r="M494" s="297" t="s">
        <v>4130</v>
      </c>
      <c r="N494" s="297" t="str">
        <f>IF(M494="sans alignement","",IF(M494="tout alignement", """1_LB"", ""2_NB"", ""3_CB"", ""4_LN"", ""5_NN"", ""6_CN"", ""7_LM"", ""8_NM"", ""9_CM""",IF(M494="tout alignement non bon", """4_LN"", ""5_NN"", ""6_CN"", ""7_LM"", ""8_NM"", ""9_CM""",IF(M494="tout alignement mauvais", """7_LM"", ""8_NM"", ""9_CM""",IF(M494="tout alignement chaotique", """3_CB"", ""6_CN"", ""9_CM""",IF(M494="tout alignement non loyal", """2_NB"", ""3_CB"", ""5_NN"", ""6_CN"", ""8_NM"", ""9_CM""",""""&amp;VLOOKUP(M494,Alignements!$A$2:$B$10,2, FALSE)&amp;""""))))))</f>
        <v/>
      </c>
      <c r="O494" s="297"/>
      <c r="P494" t="str">
        <f t="shared" si="23"/>
        <v>"Mammouth": {
  "Name" : "Mammouth",
  "VO" : "Mammoth",
  "Family" : "BEAST",
  "Species" : [""],
  "FP" : "6", 
  "Size" : "TG",
  "AC" : 13,
  "HP" : 126, 
  "Speed" : "",
  "Alignments" : [],
  "Legendary" : ""}</v>
      </c>
    </row>
    <row r="495" spans="1:16">
      <c r="A495" s="61" t="s">
        <v>5040</v>
      </c>
      <c r="B495" s="298" t="s">
        <v>5041</v>
      </c>
      <c r="C495" s="306" t="s">
        <v>5619</v>
      </c>
      <c r="D495" s="298" t="s">
        <v>4136</v>
      </c>
      <c r="E495" s="297" t="str">
        <f t="shared" si="21"/>
        <v>Fiélon</v>
      </c>
      <c r="F495" s="297" t="str">
        <f>VLOOKUP(E495,'Types de monstres'!$A$2:$B$17,2,FALSE)</f>
        <v>FIEND</v>
      </c>
      <c r="G495" s="297" t="str">
        <f t="shared" si="22"/>
        <v>démon</v>
      </c>
      <c r="H495" s="297" t="str">
        <f>IF(OR(G495="",G495="toute race"),"",VLOOKUP(G495,'Types de monstres'!$F$2:$G$49,2,FALSE))</f>
        <v>DAEMON</v>
      </c>
      <c r="I495" s="298" t="s">
        <v>4129</v>
      </c>
      <c r="J495" s="300">
        <v>9</v>
      </c>
      <c r="K495" s="300">
        <v>9</v>
      </c>
      <c r="L495" s="298"/>
      <c r="M495" s="298" t="s">
        <v>4137</v>
      </c>
      <c r="N495" s="297" t="str">
        <f>IF(M495="sans alignement","",IF(M495="tout alignement", """1_LB"", ""2_NB"", ""3_CB"", ""4_LN"", ""5_NN"", ""6_CN"", ""7_LM"", ""8_NM"", ""9_CM""",IF(M495="tout alignement non bon", """4_LN"", ""5_NN"", ""6_CN"", ""7_LM"", ""8_NM"", ""9_CM""",IF(M495="tout alignement mauvais", """7_LM"", ""8_NM"", ""9_CM""",IF(M495="tout alignement chaotique", """3_CB"", ""6_CN"", ""9_CM""",IF(M495="tout alignement non loyal", """2_NB"", ""3_CB"", ""5_NN"", ""6_CN"", ""8_NM"", ""9_CM""",""""&amp;VLOOKUP(M495,Alignements!$A$2:$B$10,2, FALSE)&amp;""""))))))</f>
        <v>"9_CM"</v>
      </c>
      <c r="O495" s="298"/>
      <c r="P495" t="str">
        <f t="shared" si="23"/>
        <v>"Mâne": {
  "Name" : "Mâne",
  "VO" : "Manes",
  "Family" : "FIEND",
  "Species" : ["DAEMON"],
  "FP" : "1/8", 
  "Size" : "P",
  "AC" : 9,
  "HP" : 9, 
  "Speed" : "",
  "Alignments" : ["9_CM"],
  "Legendary" : ""}</v>
      </c>
    </row>
    <row r="496" spans="1:16">
      <c r="A496" s="301" t="s">
        <v>5042</v>
      </c>
      <c r="B496" s="297" t="s">
        <v>5042</v>
      </c>
      <c r="C496" s="305">
        <v>13</v>
      </c>
      <c r="D496" s="297" t="s">
        <v>4242</v>
      </c>
      <c r="E496" s="297" t="str">
        <f t="shared" si="21"/>
        <v>Humanoïde</v>
      </c>
      <c r="F496" s="297" t="str">
        <f>VLOOKUP(E496,'Types de monstres'!$A$2:$B$17,2,FALSE)</f>
        <v>HUMANOID</v>
      </c>
      <c r="G496" s="297" t="str">
        <f t="shared" si="22"/>
        <v>humain</v>
      </c>
      <c r="H496" s="297" t="str">
        <f>IF(OR(G496="",G496="toute race"),"",VLOOKUP(G496,'Types de monstres'!$F$2:$G$49,2,FALSE))</f>
        <v>HUMAN</v>
      </c>
      <c r="I496" s="297" t="s">
        <v>4091</v>
      </c>
      <c r="J496" s="302">
        <v>19</v>
      </c>
      <c r="K496" s="302">
        <v>126</v>
      </c>
      <c r="L496" s="297"/>
      <c r="M496" s="297" t="s">
        <v>4097</v>
      </c>
      <c r="N496" s="297" t="str">
        <f>IF(M496="sans alignement","",IF(M496="tout alignement", """1_LB"", ""2_NB"", ""3_CB"", ""4_LN"", ""5_NN"", ""6_CN"", ""7_LM"", ""8_NM"", ""9_CM""",IF(M496="tout alignement non bon", """4_LN"", ""5_NN"", ""6_CN"", ""7_LM"", ""8_NM"", ""9_CM""",IF(M496="tout alignement mauvais", """7_LM"", ""8_NM"", ""9_CM""",IF(M496="tout alignement chaotique", """3_CB"", ""6_CN"", ""9_CM""",IF(M496="tout alignement non loyal", """2_NB"", ""3_CB"", ""5_NN"", ""6_CN"", ""8_NM"", ""9_CM""",""""&amp;VLOOKUP(M496,Alignements!$A$2:$B$10,2, FALSE)&amp;""""))))))</f>
        <v>"7_LM"</v>
      </c>
      <c r="O496" s="297"/>
      <c r="P496" t="str">
        <f t="shared" si="23"/>
        <v>"Manshoon": {
  "Name" : "Manshoon",
  "VO" : "Manshoon",
  "Family" : "HUMANOID",
  "Species" : ["HUMAN"],
  "FP" : "13", 
  "Size" : "M",
  "AC" : 19,
  "HP" : 126, 
  "Speed" : "",
  "Alignments" : ["7_LM"],
  "Legendary" : ""}</v>
      </c>
    </row>
    <row r="497" spans="1:16">
      <c r="A497" s="61" t="s">
        <v>5043</v>
      </c>
      <c r="B497" s="298" t="s">
        <v>5044</v>
      </c>
      <c r="C497" s="306" t="s">
        <v>5620</v>
      </c>
      <c r="D497" s="298" t="s">
        <v>4121</v>
      </c>
      <c r="E497" s="297" t="str">
        <f t="shared" si="21"/>
        <v>Créature monstrueuse</v>
      </c>
      <c r="F497" s="297" t="str">
        <f>VLOOKUP(E497,'Types de monstres'!$A$2:$B$17,2,FALSE)</f>
        <v>MONSTROUS_CREATURE</v>
      </c>
      <c r="G497" s="297" t="str">
        <f t="shared" si="22"/>
        <v/>
      </c>
      <c r="H497" s="297" t="str">
        <f>IF(OR(G497="",G497="toute race"),"",VLOOKUP(G497,'Types de monstres'!$F$2:$G$49,2,FALSE))</f>
        <v/>
      </c>
      <c r="I497" s="298" t="s">
        <v>4129</v>
      </c>
      <c r="J497" s="300">
        <v>11</v>
      </c>
      <c r="K497" s="300">
        <v>22</v>
      </c>
      <c r="L497" s="298" t="s">
        <v>4092</v>
      </c>
      <c r="M497" s="298" t="s">
        <v>4130</v>
      </c>
      <c r="N497" s="297" t="str">
        <f>IF(M497="sans alignement","",IF(M497="tout alignement", """1_LB"", ""2_NB"", ""3_CB"", ""4_LN"", ""5_NN"", ""6_CN"", ""7_LM"", ""8_NM"", ""9_CM""",IF(M497="tout alignement non bon", """4_LN"", ""5_NN"", ""6_CN"", ""7_LM"", ""8_NM"", ""9_CM""",IF(M497="tout alignement mauvais", """7_LM"", ""8_NM"", ""9_CM""",IF(M497="tout alignement chaotique", """3_CB"", ""6_CN"", ""9_CM""",IF(M497="tout alignement non loyal", """2_NB"", ""3_CB"", ""5_NN"", ""6_CN"", ""8_NM"", ""9_CM""",""""&amp;VLOOKUP(M497,Alignements!$A$2:$B$10,2, FALSE)&amp;""""))))))</f>
        <v/>
      </c>
      <c r="O497" s="298"/>
      <c r="P497" t="str">
        <f t="shared" si="23"/>
        <v>"Mante obscure": {
  "Name" : "Mante obscure",
  "VO" : "Darkmantle",
  "Family" : "MONSTROUS_CREATURE",
  "Species" : [""],
  "FP" : "1/2", 
  "Size" : "P",
  "AC" : 11,
  "HP" : 22, 
  "Speed" : "vol",
  "Alignments" : [],
  "Legendary" : ""}</v>
      </c>
    </row>
    <row r="498" spans="1:16">
      <c r="A498" s="61" t="s">
        <v>5045</v>
      </c>
      <c r="B498" s="297" t="s">
        <v>5046</v>
      </c>
      <c r="C498" s="305">
        <v>8</v>
      </c>
      <c r="D498" s="297" t="s">
        <v>4111</v>
      </c>
      <c r="E498" s="297" t="str">
        <f t="shared" si="21"/>
        <v>Aberration</v>
      </c>
      <c r="F498" s="297" t="str">
        <f>VLOOKUP(E498,'Types de monstres'!$A$2:$B$17,2,FALSE)</f>
        <v>ABERRATION</v>
      </c>
      <c r="G498" s="297" t="str">
        <f t="shared" si="22"/>
        <v/>
      </c>
      <c r="H498" s="297" t="str">
        <f>IF(OR(G498="",G498="toute race"),"",VLOOKUP(G498,'Types de monstres'!$F$2:$G$49,2,FALSE))</f>
        <v/>
      </c>
      <c r="I498" s="297" t="s">
        <v>4112</v>
      </c>
      <c r="J498" s="302">
        <v>14</v>
      </c>
      <c r="K498" s="302">
        <v>78</v>
      </c>
      <c r="L498" s="297" t="s">
        <v>4092</v>
      </c>
      <c r="M498" s="297" t="s">
        <v>4243</v>
      </c>
      <c r="N498" s="297" t="str">
        <f>IF(M498="sans alignement","",IF(M498="tout alignement", """1_LB"", ""2_NB"", ""3_CB"", ""4_LN"", ""5_NN"", ""6_CN"", ""7_LM"", ""8_NM"", ""9_CM""",IF(M498="tout alignement non bon", """4_LN"", ""5_NN"", ""6_CN"", ""7_LM"", ""8_NM"", ""9_CM""",IF(M498="tout alignement mauvais", """7_LM"", ""8_NM"", ""9_CM""",IF(M498="tout alignement chaotique", """3_CB"", ""6_CN"", ""9_CM""",IF(M498="tout alignement non loyal", """2_NB"", ""3_CB"", ""5_NN"", ""6_CN"", ""8_NM"", ""9_CM""",""""&amp;VLOOKUP(M498,Alignements!$A$2:$B$10,2, FALSE)&amp;""""))))))</f>
        <v>"6_CN"</v>
      </c>
      <c r="O498" s="297"/>
      <c r="P498" t="str">
        <f t="shared" si="23"/>
        <v>"Manteleur": {
  "Name" : "Manteleur",
  "VO" : "Cloaker",
  "Family" : "ABERRATION",
  "Species" : [""],
  "FP" : "8", 
  "Size" : "G",
  "AC" : 14,
  "HP" : 78, 
  "Speed" : "vol",
  "Alignments" : ["6_CN"],
  "Legendary" : ""}</v>
      </c>
    </row>
    <row r="499" spans="1:16">
      <c r="A499" s="61" t="s">
        <v>5047</v>
      </c>
      <c r="B499" s="298" t="s">
        <v>5047</v>
      </c>
      <c r="C499" s="306">
        <v>3</v>
      </c>
      <c r="D499" s="298" t="s">
        <v>4121</v>
      </c>
      <c r="E499" s="297" t="str">
        <f t="shared" si="21"/>
        <v>Créature monstrueuse</v>
      </c>
      <c r="F499" s="297" t="str">
        <f>VLOOKUP(E499,'Types de monstres'!$A$2:$B$17,2,FALSE)</f>
        <v>MONSTROUS_CREATURE</v>
      </c>
      <c r="G499" s="297" t="str">
        <f t="shared" si="22"/>
        <v/>
      </c>
      <c r="H499" s="297" t="str">
        <f>IF(OR(G499="",G499="toute race"),"",VLOOKUP(G499,'Types de monstres'!$F$2:$G$49,2,FALSE))</f>
        <v/>
      </c>
      <c r="I499" s="298" t="s">
        <v>4112</v>
      </c>
      <c r="J499" s="300">
        <v>14</v>
      </c>
      <c r="K499" s="300">
        <v>68</v>
      </c>
      <c r="L499" s="298" t="s">
        <v>4092</v>
      </c>
      <c r="M499" s="298" t="s">
        <v>4097</v>
      </c>
      <c r="N499" s="297" t="str">
        <f>IF(M499="sans alignement","",IF(M499="tout alignement", """1_LB"", ""2_NB"", ""3_CB"", ""4_LN"", ""5_NN"", ""6_CN"", ""7_LM"", ""8_NM"", ""9_CM""",IF(M499="tout alignement non bon", """4_LN"", ""5_NN"", ""6_CN"", ""7_LM"", ""8_NM"", ""9_CM""",IF(M499="tout alignement mauvais", """7_LM"", ""8_NM"", ""9_CM""",IF(M499="tout alignement chaotique", """3_CB"", ""6_CN"", ""9_CM""",IF(M499="tout alignement non loyal", """2_NB"", ""3_CB"", ""5_NN"", ""6_CN"", ""8_NM"", ""9_CM""",""""&amp;VLOOKUP(M499,Alignements!$A$2:$B$10,2, FALSE)&amp;""""))))))</f>
        <v>"7_LM"</v>
      </c>
      <c r="O499" s="298"/>
      <c r="P499" t="str">
        <f t="shared" si="23"/>
        <v>"Manticore": {
  "Name" : "Manticore",
  "VO" : "Manticore",
  "Family" : "MONSTROUS_CREATURE",
  "Species" : [""],
  "FP" : "3", 
  "Size" : "G",
  "AC" : 14,
  "HP" : 68, 
  "Speed" : "vol",
  "Alignments" : ["7_LM"],
  "Legendary" : ""}</v>
      </c>
    </row>
    <row r="500" spans="1:16">
      <c r="A500" s="61" t="s">
        <v>5048</v>
      </c>
      <c r="B500" s="297" t="s">
        <v>5049</v>
      </c>
      <c r="C500" s="305">
        <v>11</v>
      </c>
      <c r="D500" s="297" t="s">
        <v>4189</v>
      </c>
      <c r="E500" s="297" t="str">
        <f t="shared" si="21"/>
        <v>Élémentaire</v>
      </c>
      <c r="F500" s="297" t="str">
        <f>VLOOKUP(E500,'Types de monstres'!$A$2:$B$17,2,FALSE)</f>
        <v>ELEMENTARY</v>
      </c>
      <c r="G500" s="297" t="str">
        <f t="shared" si="22"/>
        <v/>
      </c>
      <c r="H500" s="297" t="str">
        <f>IF(OR(G500="",G500="toute race"),"",VLOOKUP(G500,'Types de monstres'!$F$2:$G$49,2,FALSE))</f>
        <v/>
      </c>
      <c r="I500" s="297" t="s">
        <v>4112</v>
      </c>
      <c r="J500" s="302">
        <v>17</v>
      </c>
      <c r="K500" s="302">
        <v>229</v>
      </c>
      <c r="L500" s="297" t="s">
        <v>4452</v>
      </c>
      <c r="M500" s="297" t="s">
        <v>4243</v>
      </c>
      <c r="N500" s="297" t="str">
        <f>IF(M500="sans alignement","",IF(M500="tout alignement", """1_LB"", ""2_NB"", ""3_CB"", ""4_LN"", ""5_NN"", ""6_CN"", ""7_LM"", ""8_NM"", ""9_CM""",IF(M500="tout alignement non bon", """4_LN"", ""5_NN"", ""6_CN"", ""7_LM"", ""8_NM"", ""9_CM""",IF(M500="tout alignement mauvais", """7_LM"", ""8_NM"", ""9_CM""",IF(M500="tout alignement chaotique", """3_CB"", ""6_CN"", ""9_CM""",IF(M500="tout alignement non loyal", """2_NB"", ""3_CB"", ""5_NN"", ""6_CN"", ""8_NM"", ""9_CM""",""""&amp;VLOOKUP(M500,Alignements!$A$2:$B$10,2, FALSE)&amp;""""))))))</f>
        <v>"6_CN"</v>
      </c>
      <c r="O500" s="297"/>
      <c r="P500" t="str">
        <f t="shared" si="23"/>
        <v>"Maride": {
  "Name" : "Maride",
  "VO" : "Marid",
  "Family" : "ELEMENTARY",
  "Species" : [""],
  "FP" : "11", 
  "Size" : "G",
  "AC" : 17,
  "HP" : 229, 
  "Speed" : "vol, nage",
  "Alignments" : ["6_CN"],
  "Legendary" : ""}</v>
      </c>
    </row>
    <row r="501" spans="1:16">
      <c r="A501" s="61" t="s">
        <v>5050</v>
      </c>
      <c r="B501" s="298" t="s">
        <v>5050</v>
      </c>
      <c r="C501" s="306">
        <v>16</v>
      </c>
      <c r="D501" s="298" t="s">
        <v>4136</v>
      </c>
      <c r="E501" s="297" t="str">
        <f t="shared" si="21"/>
        <v>Fiélon</v>
      </c>
      <c r="F501" s="297" t="str">
        <f>VLOOKUP(E501,'Types de monstres'!$A$2:$B$17,2,FALSE)</f>
        <v>FIEND</v>
      </c>
      <c r="G501" s="297" t="str">
        <f t="shared" si="22"/>
        <v>démon</v>
      </c>
      <c r="H501" s="297" t="str">
        <f>IF(OR(G501="",G501="toute race"),"",VLOOKUP(G501,'Types de monstres'!$F$2:$G$49,2,FALSE))</f>
        <v>DAEMON</v>
      </c>
      <c r="I501" s="298" t="s">
        <v>4112</v>
      </c>
      <c r="J501" s="300">
        <v>18</v>
      </c>
      <c r="K501" s="300">
        <v>189</v>
      </c>
      <c r="L501" s="298"/>
      <c r="M501" s="298" t="s">
        <v>4137</v>
      </c>
      <c r="N501" s="297" t="str">
        <f>IF(M501="sans alignement","",IF(M501="tout alignement", """1_LB"", ""2_NB"", ""3_CB"", ""4_LN"", ""5_NN"", ""6_CN"", ""7_LM"", ""8_NM"", ""9_CM""",IF(M501="tout alignement non bon", """4_LN"", ""5_NN"", ""6_CN"", ""7_LM"", ""8_NM"", ""9_CM""",IF(M501="tout alignement mauvais", """7_LM"", ""8_NM"", ""9_CM""",IF(M501="tout alignement chaotique", """3_CB"", ""6_CN"", ""9_CM""",IF(M501="tout alignement non loyal", """2_NB"", ""3_CB"", ""5_NN"", ""6_CN"", ""8_NM"", ""9_CM""",""""&amp;VLOOKUP(M501,Alignements!$A$2:$B$10,2, FALSE)&amp;""""))))))</f>
        <v>"9_CM"</v>
      </c>
      <c r="O501" s="298"/>
      <c r="P501" t="str">
        <f t="shared" si="23"/>
        <v>"Marilith": {
  "Name" : "Marilith",
  "VO" : "Marilith",
  "Family" : "FIEND",
  "Species" : ["DAEMON"],
  "FP" : "16", 
  "Size" : "G",
  "AC" : 18,
  "HP" : 189, 
  "Speed" : "",
  "Alignments" : ["9_CM"],
  "Legendary" : ""}</v>
      </c>
    </row>
    <row r="502" spans="1:16" ht="21">
      <c r="A502" s="301" t="s">
        <v>5051</v>
      </c>
      <c r="B502" s="297" t="s">
        <v>5051</v>
      </c>
      <c r="C502" s="305">
        <v>25</v>
      </c>
      <c r="D502" s="297" t="s">
        <v>5052</v>
      </c>
      <c r="E502" s="297" t="str">
        <f t="shared" si="21"/>
        <v>Créature artificielle</v>
      </c>
      <c r="F502" s="297" t="str">
        <f>VLOOKUP(E502,'Types de monstres'!$A$2:$B$17,2,FALSE)</f>
        <v>ARTIFICIAL_CREATURE</v>
      </c>
      <c r="G502" s="297" t="str">
        <f t="shared" si="22"/>
        <v>inévitable</v>
      </c>
      <c r="H502" s="297" t="str">
        <f>IF(OR(G502="",G502="toute race"),"",VLOOKUP(G502,'Types de monstres'!$F$2:$G$49,2,FALSE))</f>
        <v>INEVITABLE</v>
      </c>
      <c r="I502" s="297" t="s">
        <v>4112</v>
      </c>
      <c r="J502" s="302">
        <v>22</v>
      </c>
      <c r="K502" s="302">
        <v>432</v>
      </c>
      <c r="L502" s="297" t="s">
        <v>4092</v>
      </c>
      <c r="M502" s="297" t="s">
        <v>4145</v>
      </c>
      <c r="N502" s="297" t="str">
        <f>IF(M502="sans alignement","",IF(M502="tout alignement", """1_LB"", ""2_NB"", ""3_CB"", ""4_LN"", ""5_NN"", ""6_CN"", ""7_LM"", ""8_NM"", ""9_CM""",IF(M502="tout alignement non bon", """4_LN"", ""5_NN"", ""6_CN"", ""7_LM"", ""8_NM"", ""9_CM""",IF(M502="tout alignement mauvais", """7_LM"", ""8_NM"", ""9_CM""",IF(M502="tout alignement chaotique", """3_CB"", ""6_CN"", ""9_CM""",IF(M502="tout alignement non loyal", """2_NB"", ""3_CB"", ""5_NN"", ""6_CN"", ""8_NM"", ""9_CM""",""""&amp;VLOOKUP(M502,Alignements!$A$2:$B$10,2, FALSE)&amp;""""))))))</f>
        <v>"4_LN"</v>
      </c>
      <c r="O502" s="297"/>
      <c r="P502" t="str">
        <f t="shared" si="23"/>
        <v>"Marut": {
  "Name" : "Marut",
  "VO" : "Marut",
  "Family" : "ARTIFICIAL_CREATURE",
  "Species" : ["INEVITABLE"],
  "FP" : "25", 
  "Size" : "G",
  "AC" : 22,
  "HP" : 432, 
  "Speed" : "vol",
  "Alignments" : ["4_LN"],
  "Legendary" : ""}</v>
      </c>
    </row>
    <row r="503" spans="1:16">
      <c r="A503" s="61" t="s">
        <v>5053</v>
      </c>
      <c r="B503" s="298" t="s">
        <v>5054</v>
      </c>
      <c r="C503" s="306">
        <v>5</v>
      </c>
      <c r="D503" s="298" t="s">
        <v>4121</v>
      </c>
      <c r="E503" s="297" t="str">
        <f t="shared" si="21"/>
        <v>Créature monstrueuse</v>
      </c>
      <c r="F503" s="297" t="str">
        <f>VLOOKUP(E503,'Types de monstres'!$A$2:$B$17,2,FALSE)</f>
        <v>MONSTROUS_CREATURE</v>
      </c>
      <c r="G503" s="297" t="str">
        <f t="shared" si="22"/>
        <v/>
      </c>
      <c r="H503" s="297" t="str">
        <f>IF(OR(G503="",G503="toute race"),"",VLOOKUP(G503,'Types de monstres'!$F$2:$G$49,2,FALSE))</f>
        <v/>
      </c>
      <c r="I503" s="298" t="s">
        <v>4112</v>
      </c>
      <c r="J503" s="300">
        <v>18</v>
      </c>
      <c r="K503" s="300">
        <v>93</v>
      </c>
      <c r="L503" s="298"/>
      <c r="M503" s="298" t="s">
        <v>4137</v>
      </c>
      <c r="N503" s="297" t="str">
        <f>IF(M503="sans alignement","",IF(M503="tout alignement", """1_LB"", ""2_NB"", ""3_CB"", ""4_LN"", ""5_NN"", ""6_CN"", ""7_LM"", ""8_NM"", ""9_CM""",IF(M503="tout alignement non bon", """4_LN"", ""5_NN"", ""6_CN"", ""7_LM"", ""8_NM"", ""9_CM""",IF(M503="tout alignement mauvais", """7_LM"", ""8_NM"", ""9_CM""",IF(M503="tout alignement chaotique", """3_CB"", ""6_CN"", ""9_CM""",IF(M503="tout alignement non loyal", """2_NB"", ""3_CB"", ""5_NN"", ""6_CN"", ""8_NM"", ""9_CM""",""""&amp;VLOOKUP(M503,Alignements!$A$2:$B$10,2, FALSE)&amp;""""))))))</f>
        <v>"9_CM"</v>
      </c>
      <c r="O503" s="298"/>
      <c r="P503" t="str">
        <f t="shared" si="23"/>
        <v>"Mastodonte des ombres": {
  "Name" : "Mastodonte des ombres",
  "VO" : "Umber Hulk",
  "Family" : "MONSTROUS_CREATURE",
  "Species" : [""],
  "FP" : "5", 
  "Size" : "G",
  "AC" : 18,
  "HP" : 93, 
  "Speed" : "",
  "Alignments" : ["9_CM"],
  "Legendary" : ""}</v>
      </c>
    </row>
    <row r="504" spans="1:16">
      <c r="A504" s="301" t="s">
        <v>5055</v>
      </c>
      <c r="B504" s="297" t="s">
        <v>5055</v>
      </c>
      <c r="C504" s="305">
        <v>7</v>
      </c>
      <c r="D504" s="297" t="s">
        <v>4136</v>
      </c>
      <c r="E504" s="297" t="str">
        <f t="shared" si="21"/>
        <v>Fiélon</v>
      </c>
      <c r="F504" s="297" t="str">
        <f>VLOOKUP(E504,'Types de monstres'!$A$2:$B$17,2,FALSE)</f>
        <v>FIEND</v>
      </c>
      <c r="G504" s="297" t="str">
        <f t="shared" si="22"/>
        <v>démon</v>
      </c>
      <c r="H504" s="297" t="str">
        <f>IF(OR(G504="",G504="toute race"),"",VLOOKUP(G504,'Types de monstres'!$F$2:$G$49,2,FALSE))</f>
        <v>DAEMON</v>
      </c>
      <c r="I504" s="297" t="s">
        <v>4091</v>
      </c>
      <c r="J504" s="302">
        <v>15</v>
      </c>
      <c r="K504" s="302">
        <v>88</v>
      </c>
      <c r="L504" s="297"/>
      <c r="M504" s="297" t="s">
        <v>4137</v>
      </c>
      <c r="N504" s="297" t="str">
        <f>IF(M504="sans alignement","",IF(M504="tout alignement", """1_LB"", ""2_NB"", ""3_CB"", ""4_LN"", ""5_NN"", ""6_CN"", ""7_LM"", ""8_NM"", ""9_CM""",IF(M504="tout alignement non bon", """4_LN"", ""5_NN"", ""6_CN"", ""7_LM"", ""8_NM"", ""9_CM""",IF(M504="tout alignement mauvais", """7_LM"", ""8_NM"", ""9_CM""",IF(M504="tout alignement chaotique", """3_CB"", ""6_CN"", ""9_CM""",IF(M504="tout alignement non loyal", """2_NB"", ""3_CB"", ""5_NN"", ""6_CN"", ""8_NM"", ""9_CM""",""""&amp;VLOOKUP(M504,Alignements!$A$2:$B$10,2, FALSE)&amp;""""))))))</f>
        <v>"9_CM"</v>
      </c>
      <c r="O504" s="297"/>
      <c r="P504" t="str">
        <f t="shared" si="23"/>
        <v>"Maurezhi": {
  "Name" : "Maurezhi",
  "VO" : "Maurezhi",
  "Family" : "FIEND",
  "Species" : ["DAEMON"],
  "FP" : "7", 
  "Size" : "M",
  "AC" : 15,
  "HP" : 88, 
  "Speed" : "",
  "Alignments" : ["9_CM"],
  "Legendary" : ""}</v>
      </c>
    </row>
    <row r="505" spans="1:16">
      <c r="A505" s="299" t="s">
        <v>5056</v>
      </c>
      <c r="B505" s="298" t="s">
        <v>5056</v>
      </c>
      <c r="C505" s="306">
        <v>1</v>
      </c>
      <c r="D505" s="298" t="s">
        <v>5057</v>
      </c>
      <c r="E505" s="297" t="str">
        <f t="shared" si="21"/>
        <v>Humanoïde</v>
      </c>
      <c r="F505" s="297" t="str">
        <f>VLOOKUP(E505,'Types de monstres'!$A$2:$B$17,2,FALSE)</f>
        <v>HUMANOID</v>
      </c>
      <c r="G505" s="297" t="str">
        <f t="shared" si="22"/>
        <v>meazel</v>
      </c>
      <c r="H505" s="297" t="str">
        <f>IF(OR(G505="",G505="toute race"),"",VLOOKUP(G505,'Types de monstres'!$F$2:$G$49,2,FALSE))</f>
        <v>MEAZEL</v>
      </c>
      <c r="I505" s="298" t="s">
        <v>4091</v>
      </c>
      <c r="J505" s="300">
        <v>13</v>
      </c>
      <c r="K505" s="300">
        <v>35</v>
      </c>
      <c r="L505" s="298"/>
      <c r="M505" s="298" t="s">
        <v>4118</v>
      </c>
      <c r="N505" s="297" t="str">
        <f>IF(M505="sans alignement","",IF(M505="tout alignement", """1_LB"", ""2_NB"", ""3_CB"", ""4_LN"", ""5_NN"", ""6_CN"", ""7_LM"", ""8_NM"", ""9_CM""",IF(M505="tout alignement non bon", """4_LN"", ""5_NN"", ""6_CN"", ""7_LM"", ""8_NM"", ""9_CM""",IF(M505="tout alignement mauvais", """7_LM"", ""8_NM"", ""9_CM""",IF(M505="tout alignement chaotique", """3_CB"", ""6_CN"", ""9_CM""",IF(M505="tout alignement non loyal", """2_NB"", ""3_CB"", ""5_NN"", ""6_CN"", ""8_NM"", ""9_CM""",""""&amp;VLOOKUP(M505,Alignements!$A$2:$B$10,2, FALSE)&amp;""""))))))</f>
        <v>"8_NM"</v>
      </c>
      <c r="O505" s="298"/>
      <c r="P505" t="str">
        <f t="shared" si="23"/>
        <v>"Meazel": {
  "Name" : "Meazel",
  "VO" : "Meazel",
  "Family" : "HUMANOID",
  "Species" : ["MEAZEL"],
  "FP" : "1", 
  "Size" : "M",
  "AC" : 13,
  "HP" : 35, 
  "Speed" : "",
  "Alignments" : ["8_NM"],
  "Legendary" : ""}</v>
      </c>
    </row>
    <row r="506" spans="1:16">
      <c r="A506" s="61" t="s">
        <v>5058</v>
      </c>
      <c r="B506" s="297" t="s">
        <v>5059</v>
      </c>
      <c r="C506" s="305">
        <v>6</v>
      </c>
      <c r="D506" s="297" t="s">
        <v>4121</v>
      </c>
      <c r="E506" s="297" t="str">
        <f t="shared" si="21"/>
        <v>Créature monstrueuse</v>
      </c>
      <c r="F506" s="297" t="str">
        <f>VLOOKUP(E506,'Types de monstres'!$A$2:$B$17,2,FALSE)</f>
        <v>MONSTROUS_CREATURE</v>
      </c>
      <c r="G506" s="297" t="str">
        <f t="shared" si="22"/>
        <v/>
      </c>
      <c r="H506" s="297" t="str">
        <f>IF(OR(G506="",G506="toute race"),"",VLOOKUP(G506,'Types de monstres'!$F$2:$G$49,2,FALSE))</f>
        <v/>
      </c>
      <c r="I506" s="297" t="s">
        <v>4091</v>
      </c>
      <c r="J506" s="302">
        <v>15</v>
      </c>
      <c r="K506" s="302">
        <v>127</v>
      </c>
      <c r="L506" s="297"/>
      <c r="M506" s="297" t="s">
        <v>4097</v>
      </c>
      <c r="N506" s="297" t="str">
        <f>IF(M506="sans alignement","",IF(M506="tout alignement", """1_LB"", ""2_NB"", ""3_CB"", ""4_LN"", ""5_NN"", ""6_CN"", ""7_LM"", ""8_NM"", ""9_CM""",IF(M506="tout alignement non bon", """4_LN"", ""5_NN"", ""6_CN"", ""7_LM"", ""8_NM"", ""9_CM""",IF(M506="tout alignement mauvais", """7_LM"", ""8_NM"", ""9_CM""",IF(M506="tout alignement chaotique", """3_CB"", ""6_CN"", ""9_CM""",IF(M506="tout alignement non loyal", """2_NB"", ""3_CB"", ""5_NN"", ""6_CN"", ""8_NM"", ""9_CM""",""""&amp;VLOOKUP(M506,Alignements!$A$2:$B$10,2, FALSE)&amp;""""))))))</f>
        <v>"7_LM"</v>
      </c>
      <c r="O506" s="297"/>
      <c r="P506" t="str">
        <f t="shared" si="23"/>
        <v>"Méduse": {
  "Name" : "Méduse",
  "VO" : "Medusa",
  "Family" : "MONSTROUS_CREATURE",
  "Species" : [""],
  "FP" : "6", 
  "Size" : "M",
  "AC" : 15,
  "HP" : 127, 
  "Speed" : "",
  "Alignments" : ["7_LM"],
  "Legendary" : ""}</v>
      </c>
    </row>
    <row r="507" spans="1:16">
      <c r="A507" s="61" t="s">
        <v>5060</v>
      </c>
      <c r="B507" s="298" t="s">
        <v>5061</v>
      </c>
      <c r="C507" s="306" t="s">
        <v>5618</v>
      </c>
      <c r="D507" s="298" t="s">
        <v>4189</v>
      </c>
      <c r="E507" s="297" t="str">
        <f t="shared" si="21"/>
        <v>Élémentaire</v>
      </c>
      <c r="F507" s="297" t="str">
        <f>VLOOKUP(E507,'Types de monstres'!$A$2:$B$17,2,FALSE)</f>
        <v>ELEMENTARY</v>
      </c>
      <c r="G507" s="297" t="str">
        <f t="shared" si="22"/>
        <v/>
      </c>
      <c r="H507" s="297" t="str">
        <f>IF(OR(G507="",G507="toute race"),"",VLOOKUP(G507,'Types de monstres'!$F$2:$G$49,2,FALSE))</f>
        <v/>
      </c>
      <c r="I507" s="298" t="s">
        <v>4129</v>
      </c>
      <c r="J507" s="300">
        <v>11</v>
      </c>
      <c r="K507" s="300">
        <v>27</v>
      </c>
      <c r="L507" s="298" t="s">
        <v>4452</v>
      </c>
      <c r="M507" s="298" t="s">
        <v>4118</v>
      </c>
      <c r="N507" s="297" t="str">
        <f>IF(M507="sans alignement","",IF(M507="tout alignement", """1_LB"", ""2_NB"", ""3_CB"", ""4_LN"", ""5_NN"", ""6_CN"", ""7_LM"", ""8_NM"", ""9_CM""",IF(M507="tout alignement non bon", """4_LN"", ""5_NN"", ""6_CN"", ""7_LM"", ""8_NM"", ""9_CM""",IF(M507="tout alignement mauvais", """7_LM"", ""8_NM"", ""9_CM""",IF(M507="tout alignement chaotique", """3_CB"", ""6_CN"", ""9_CM""",IF(M507="tout alignement non loyal", """2_NB"", ""3_CB"", ""5_NN"", ""6_CN"", ""8_NM"", ""9_CM""",""""&amp;VLOOKUP(M507,Alignements!$A$2:$B$10,2, FALSE)&amp;""""))))))</f>
        <v>"8_NM"</v>
      </c>
      <c r="O507" s="298"/>
      <c r="P507" t="str">
        <f t="shared" si="23"/>
        <v>"Méphite de boue": {
  "Name" : "Méphite de boue",
  "VO" : "Mud Mephit",
  "Family" : "ELEMENTARY",
  "Species" : [""],
  "FP" : "1/4", 
  "Size" : "P",
  "AC" : 11,
  "HP" : 27, 
  "Speed" : "vol, nage",
  "Alignments" : ["8_NM"],
  "Legendary" : ""}</v>
      </c>
    </row>
    <row r="508" spans="1:16">
      <c r="A508" s="61" t="s">
        <v>5062</v>
      </c>
      <c r="B508" s="297" t="s">
        <v>5063</v>
      </c>
      <c r="C508" s="305" t="s">
        <v>5618</v>
      </c>
      <c r="D508" s="297" t="s">
        <v>4189</v>
      </c>
      <c r="E508" s="297" t="str">
        <f t="shared" si="21"/>
        <v>Élémentaire</v>
      </c>
      <c r="F508" s="297" t="str">
        <f>VLOOKUP(E508,'Types de monstres'!$A$2:$B$17,2,FALSE)</f>
        <v>ELEMENTARY</v>
      </c>
      <c r="G508" s="297" t="str">
        <f t="shared" si="22"/>
        <v/>
      </c>
      <c r="H508" s="297" t="str">
        <f>IF(OR(G508="",G508="toute race"),"",VLOOKUP(G508,'Types de monstres'!$F$2:$G$49,2,FALSE))</f>
        <v/>
      </c>
      <c r="I508" s="297" t="s">
        <v>4129</v>
      </c>
      <c r="J508" s="302">
        <v>12</v>
      </c>
      <c r="K508" s="302">
        <v>22</v>
      </c>
      <c r="L508" s="297" t="s">
        <v>4092</v>
      </c>
      <c r="M508" s="297" t="s">
        <v>4118</v>
      </c>
      <c r="N508" s="297" t="str">
        <f>IF(M508="sans alignement","",IF(M508="tout alignement", """1_LB"", ""2_NB"", ""3_CB"", ""4_LN"", ""5_NN"", ""6_CN"", ""7_LM"", ""8_NM"", ""9_CM""",IF(M508="tout alignement non bon", """4_LN"", ""5_NN"", ""6_CN"", ""7_LM"", ""8_NM"", ""9_CM""",IF(M508="tout alignement mauvais", """7_LM"", ""8_NM"", ""9_CM""",IF(M508="tout alignement chaotique", """3_CB"", ""6_CN"", ""9_CM""",IF(M508="tout alignement non loyal", """2_NB"", ""3_CB"", ""5_NN"", ""6_CN"", ""8_NM"", ""9_CM""",""""&amp;VLOOKUP(M508,Alignements!$A$2:$B$10,2, FALSE)&amp;""""))))))</f>
        <v>"8_NM"</v>
      </c>
      <c r="O508" s="297"/>
      <c r="P508" t="str">
        <f t="shared" si="23"/>
        <v>"Méphite de fumée": {
  "Name" : "Méphite de fumée",
  "VO" : "Smoke Mephit",
  "Family" : "ELEMENTARY",
  "Species" : [""],
  "FP" : "1/4", 
  "Size" : "P",
  "AC" : 12,
  "HP" : 22, 
  "Speed" : "vol",
  "Alignments" : ["8_NM"],
  "Legendary" : ""}</v>
      </c>
    </row>
    <row r="509" spans="1:16">
      <c r="A509" s="61" t="s">
        <v>5064</v>
      </c>
      <c r="B509" s="298" t="s">
        <v>5065</v>
      </c>
      <c r="C509" s="306" t="s">
        <v>5620</v>
      </c>
      <c r="D509" s="298" t="s">
        <v>4189</v>
      </c>
      <c r="E509" s="297" t="str">
        <f t="shared" si="21"/>
        <v>Élémentaire</v>
      </c>
      <c r="F509" s="297" t="str">
        <f>VLOOKUP(E509,'Types de monstres'!$A$2:$B$17,2,FALSE)</f>
        <v>ELEMENTARY</v>
      </c>
      <c r="G509" s="297" t="str">
        <f t="shared" si="22"/>
        <v/>
      </c>
      <c r="H509" s="297" t="str">
        <f>IF(OR(G509="",G509="toute race"),"",VLOOKUP(G509,'Types de monstres'!$F$2:$G$49,2,FALSE))</f>
        <v/>
      </c>
      <c r="I509" s="298" t="s">
        <v>4129</v>
      </c>
      <c r="J509" s="300">
        <v>11</v>
      </c>
      <c r="K509" s="300">
        <v>21</v>
      </c>
      <c r="L509" s="298" t="s">
        <v>4092</v>
      </c>
      <c r="M509" s="298" t="s">
        <v>4118</v>
      </c>
      <c r="N509" s="297" t="str">
        <f>IF(M509="sans alignement","",IF(M509="tout alignement", """1_LB"", ""2_NB"", ""3_CB"", ""4_LN"", ""5_NN"", ""6_CN"", ""7_LM"", ""8_NM"", ""9_CM""",IF(M509="tout alignement non bon", """4_LN"", ""5_NN"", ""6_CN"", ""7_LM"", ""8_NM"", ""9_CM""",IF(M509="tout alignement mauvais", """7_LM"", ""8_NM"", ""9_CM""",IF(M509="tout alignement chaotique", """3_CB"", ""6_CN"", ""9_CM""",IF(M509="tout alignement non loyal", """2_NB"", ""3_CB"", ""5_NN"", ""6_CN"", ""8_NM"", ""9_CM""",""""&amp;VLOOKUP(M509,Alignements!$A$2:$B$10,2, FALSE)&amp;""""))))))</f>
        <v>"8_NM"</v>
      </c>
      <c r="O509" s="298"/>
      <c r="P509" t="str">
        <f t="shared" si="23"/>
        <v>"Méphite de glace": {
  "Name" : "Méphite de glace",
  "VO" : "Ice Mephit",
  "Family" : "ELEMENTARY",
  "Species" : [""],
  "FP" : "1/2", 
  "Size" : "P",
  "AC" : 11,
  "HP" : 21, 
  "Speed" : "vol",
  "Alignments" : ["8_NM"],
  "Legendary" : ""}</v>
      </c>
    </row>
    <row r="510" spans="1:16">
      <c r="A510" s="61" t="s">
        <v>5066</v>
      </c>
      <c r="B510" s="297" t="s">
        <v>5067</v>
      </c>
      <c r="C510" s="305" t="s">
        <v>5620</v>
      </c>
      <c r="D510" s="297" t="s">
        <v>4189</v>
      </c>
      <c r="E510" s="297" t="str">
        <f t="shared" si="21"/>
        <v>Élémentaire</v>
      </c>
      <c r="F510" s="297" t="str">
        <f>VLOOKUP(E510,'Types de monstres'!$A$2:$B$17,2,FALSE)</f>
        <v>ELEMENTARY</v>
      </c>
      <c r="G510" s="297" t="str">
        <f t="shared" si="22"/>
        <v/>
      </c>
      <c r="H510" s="297" t="str">
        <f>IF(OR(G510="",G510="toute race"),"",VLOOKUP(G510,'Types de monstres'!$F$2:$G$49,2,FALSE))</f>
        <v/>
      </c>
      <c r="I510" s="297" t="s">
        <v>4129</v>
      </c>
      <c r="J510" s="302">
        <v>11</v>
      </c>
      <c r="K510" s="302">
        <v>22</v>
      </c>
      <c r="L510" s="297" t="s">
        <v>4092</v>
      </c>
      <c r="M510" s="297" t="s">
        <v>4118</v>
      </c>
      <c r="N510" s="297" t="str">
        <f>IF(M510="sans alignement","",IF(M510="tout alignement", """1_LB"", ""2_NB"", ""3_CB"", ""4_LN"", ""5_NN"", ""6_CN"", ""7_LM"", ""8_NM"", ""9_CM""",IF(M510="tout alignement non bon", """4_LN"", ""5_NN"", ""6_CN"", ""7_LM"", ""8_NM"", ""9_CM""",IF(M510="tout alignement mauvais", """7_LM"", ""8_NM"", ""9_CM""",IF(M510="tout alignement chaotique", """3_CB"", ""6_CN"", ""9_CM""",IF(M510="tout alignement non loyal", """2_NB"", ""3_CB"", ""5_NN"", ""6_CN"", ""8_NM"", ""9_CM""",""""&amp;VLOOKUP(M510,Alignements!$A$2:$B$10,2, FALSE)&amp;""""))))))</f>
        <v>"8_NM"</v>
      </c>
      <c r="O510" s="297"/>
      <c r="P510" t="str">
        <f t="shared" si="23"/>
        <v>"Méphite de magma": {
  "Name" : "Méphite de magma",
  "VO" : "Magma Mephit",
  "Family" : "ELEMENTARY",
  "Species" : [""],
  "FP" : "1/2", 
  "Size" : "P",
  "AC" : 11,
  "HP" : 22, 
  "Speed" : "vol",
  "Alignments" : ["8_NM"],
  "Legendary" : ""}</v>
      </c>
    </row>
    <row r="511" spans="1:16">
      <c r="A511" s="61" t="s">
        <v>5068</v>
      </c>
      <c r="B511" s="298" t="s">
        <v>5069</v>
      </c>
      <c r="C511" s="306" t="s">
        <v>5620</v>
      </c>
      <c r="D511" s="298" t="s">
        <v>4189</v>
      </c>
      <c r="E511" s="297" t="str">
        <f t="shared" si="21"/>
        <v>Élémentaire</v>
      </c>
      <c r="F511" s="297" t="str">
        <f>VLOOKUP(E511,'Types de monstres'!$A$2:$B$17,2,FALSE)</f>
        <v>ELEMENTARY</v>
      </c>
      <c r="G511" s="297" t="str">
        <f t="shared" si="22"/>
        <v/>
      </c>
      <c r="H511" s="297" t="str">
        <f>IF(OR(G511="",G511="toute race"),"",VLOOKUP(G511,'Types de monstres'!$F$2:$G$49,2,FALSE))</f>
        <v/>
      </c>
      <c r="I511" s="298" t="s">
        <v>4129</v>
      </c>
      <c r="J511" s="300">
        <v>12</v>
      </c>
      <c r="K511" s="300">
        <v>17</v>
      </c>
      <c r="L511" s="298" t="s">
        <v>4092</v>
      </c>
      <c r="M511" s="298" t="s">
        <v>4118</v>
      </c>
      <c r="N511" s="297" t="str">
        <f>IF(M511="sans alignement","",IF(M511="tout alignement", """1_LB"", ""2_NB"", ""3_CB"", ""4_LN"", ""5_NN"", ""6_CN"", ""7_LM"", ""8_NM"", ""9_CM""",IF(M511="tout alignement non bon", """4_LN"", ""5_NN"", ""6_CN"", ""7_LM"", ""8_NM"", ""9_CM""",IF(M511="tout alignement mauvais", """7_LM"", ""8_NM"", ""9_CM""",IF(M511="tout alignement chaotique", """3_CB"", ""6_CN"", ""9_CM""",IF(M511="tout alignement non loyal", """2_NB"", ""3_CB"", ""5_NN"", ""6_CN"", ""8_NM"", ""9_CM""",""""&amp;VLOOKUP(M511,Alignements!$A$2:$B$10,2, FALSE)&amp;""""))))))</f>
        <v>"8_NM"</v>
      </c>
      <c r="O511" s="298"/>
      <c r="P511" t="str">
        <f t="shared" si="23"/>
        <v>"Méphite de poussière": {
  "Name" : "Méphite de poussière",
  "VO" : "Dust Mephit",
  "Family" : "ELEMENTARY",
  "Species" : [""],
  "FP" : "1/2", 
  "Size" : "P",
  "AC" : 12,
  "HP" : 17, 
  "Speed" : "vol",
  "Alignments" : ["8_NM"],
  "Legendary" : ""}</v>
      </c>
    </row>
    <row r="512" spans="1:16">
      <c r="A512" s="61" t="s">
        <v>5070</v>
      </c>
      <c r="B512" s="297" t="s">
        <v>5071</v>
      </c>
      <c r="C512" s="305" t="s">
        <v>5618</v>
      </c>
      <c r="D512" s="297" t="s">
        <v>4189</v>
      </c>
      <c r="E512" s="297" t="str">
        <f t="shared" si="21"/>
        <v>Élémentaire</v>
      </c>
      <c r="F512" s="297" t="str">
        <f>VLOOKUP(E512,'Types de monstres'!$A$2:$B$17,2,FALSE)</f>
        <v>ELEMENTARY</v>
      </c>
      <c r="G512" s="297" t="str">
        <f t="shared" si="22"/>
        <v/>
      </c>
      <c r="H512" s="297" t="str">
        <f>IF(OR(G512="",G512="toute race"),"",VLOOKUP(G512,'Types de monstres'!$F$2:$G$49,2,FALSE))</f>
        <v/>
      </c>
      <c r="I512" s="297" t="s">
        <v>4129</v>
      </c>
      <c r="J512" s="302">
        <v>10</v>
      </c>
      <c r="K512" s="302">
        <v>21</v>
      </c>
      <c r="L512" s="297" t="s">
        <v>4092</v>
      </c>
      <c r="M512" s="297" t="s">
        <v>4118</v>
      </c>
      <c r="N512" s="297" t="str">
        <f>IF(M512="sans alignement","",IF(M512="tout alignement", """1_LB"", ""2_NB"", ""3_CB"", ""4_LN"", ""5_NN"", ""6_CN"", ""7_LM"", ""8_NM"", ""9_CM""",IF(M512="tout alignement non bon", """4_LN"", ""5_NN"", ""6_CN"", ""7_LM"", ""8_NM"", ""9_CM""",IF(M512="tout alignement mauvais", """7_LM"", ""8_NM"", ""9_CM""",IF(M512="tout alignement chaotique", """3_CB"", ""6_CN"", ""9_CM""",IF(M512="tout alignement non loyal", """2_NB"", ""3_CB"", ""5_NN"", ""6_CN"", ""8_NM"", ""9_CM""",""""&amp;VLOOKUP(M512,Alignements!$A$2:$B$10,2, FALSE)&amp;""""))))))</f>
        <v>"8_NM"</v>
      </c>
      <c r="O512" s="297"/>
      <c r="P512" t="str">
        <f t="shared" si="23"/>
        <v>"Méphite de vapeur": {
  "Name" : "Méphite de vapeur",
  "VO" : "Steam Mephit",
  "Family" : "ELEMENTARY",
  "Species" : [""],
  "FP" : "1/4", 
  "Size" : "P",
  "AC" : 10,
  "HP" : 21, 
  "Speed" : "vol",
  "Alignments" : ["8_NM"],
  "Legendary" : ""}</v>
      </c>
    </row>
    <row r="513" spans="1:16" ht="21">
      <c r="A513" s="61" t="s">
        <v>5072</v>
      </c>
      <c r="B513" s="298" t="s">
        <v>5073</v>
      </c>
      <c r="C513" s="306">
        <v>1</v>
      </c>
      <c r="D513" s="298" t="s">
        <v>4242</v>
      </c>
      <c r="E513" s="297" t="str">
        <f t="shared" si="21"/>
        <v>Humanoïde</v>
      </c>
      <c r="F513" s="297" t="str">
        <f>VLOOKUP(E513,'Types de monstres'!$A$2:$B$17,2,FALSE)</f>
        <v>HUMANOID</v>
      </c>
      <c r="G513" s="297" t="str">
        <f t="shared" si="22"/>
        <v>humain</v>
      </c>
      <c r="H513" s="297" t="str">
        <f>IF(OR(G513="",G513="toute race"),"",VLOOKUP(G513,'Types de monstres'!$F$2:$G$49,2,FALSE))</f>
        <v>HUMAN</v>
      </c>
      <c r="I513" s="298" t="s">
        <v>4091</v>
      </c>
      <c r="J513" s="300">
        <v>13</v>
      </c>
      <c r="K513" s="300">
        <v>38</v>
      </c>
      <c r="L513" s="298"/>
      <c r="M513" s="298" t="s">
        <v>4193</v>
      </c>
      <c r="N513" s="297" t="str">
        <f>IF(M513="sans alignement","",IF(M513="tout alignement", """1_LB"", ""2_NB"", ""3_CB"", ""4_LN"", ""5_NN"", ""6_CN"", ""7_LM"", ""8_NM"", ""9_CM""",IF(M513="tout alignement non bon", """4_LN"", ""5_NN"", ""6_CN"", ""7_LM"", ""8_NM"", ""9_CM""",IF(M513="tout alignement mauvais", """7_LM"", ""8_NM"", ""9_CM""",IF(M513="tout alignement chaotique", """3_CB"", ""6_CN"", ""9_CM""",IF(M513="tout alignement non loyal", """2_NB"", ""3_CB"", ""5_NN"", ""6_CN"", ""8_NM"", ""9_CM""",""""&amp;VLOOKUP(M513,Alignements!$A$2:$B$10,2, FALSE)&amp;""""))))))</f>
        <v>"5_NN"</v>
      </c>
      <c r="O513" s="298"/>
      <c r="P513" t="str">
        <f t="shared" si="23"/>
        <v>"Mercenaire de Bois noir": {
  "Name" : "Mercenaire de Bois noir",
  "VO" : "Black Wood Mercenary",
  "Family" : "HUMANOID",
  "Species" : ["HUMAN"],
  "FP" : "1", 
  "Size" : "M",
  "AC" : 13,
  "HP" : 38, 
  "Speed" : "",
  "Alignments" : ["5_NN"],
  "Legendary" : ""}</v>
      </c>
    </row>
    <row r="514" spans="1:16">
      <c r="A514" s="301" t="s">
        <v>5074</v>
      </c>
      <c r="B514" s="297" t="s">
        <v>5074</v>
      </c>
      <c r="C514" s="305">
        <v>4</v>
      </c>
      <c r="D514" s="297" t="s">
        <v>4096</v>
      </c>
      <c r="E514" s="297" t="str">
        <f t="shared" si="21"/>
        <v>Fiélon</v>
      </c>
      <c r="F514" s="297" t="str">
        <f>VLOOKUP(E514,'Types de monstres'!$A$2:$B$17,2,FALSE)</f>
        <v>FIEND</v>
      </c>
      <c r="G514" s="297" t="str">
        <f t="shared" si="22"/>
        <v>diable</v>
      </c>
      <c r="H514" s="297" t="str">
        <f>IF(OR(G514="",G514="toute race"),"",VLOOKUP(G514,'Types de monstres'!$F$2:$G$49,2,FALSE))</f>
        <v>DEVIL</v>
      </c>
      <c r="I514" s="297" t="s">
        <v>4091</v>
      </c>
      <c r="J514" s="302">
        <v>16</v>
      </c>
      <c r="K514" s="302">
        <v>45</v>
      </c>
      <c r="L514" s="297"/>
      <c r="M514" s="297" t="s">
        <v>4097</v>
      </c>
      <c r="N514" s="297" t="str">
        <f>IF(M514="sans alignement","",IF(M514="tout alignement", """1_LB"", ""2_NB"", ""3_CB"", ""4_LN"", ""5_NN"", ""6_CN"", ""7_LM"", ""8_NM"", ""9_CM""",IF(M514="tout alignement non bon", """4_LN"", ""5_NN"", ""6_CN"", ""7_LM"", ""8_NM"", ""9_CM""",IF(M514="tout alignement mauvais", """7_LM"", ""8_NM"", ""9_CM""",IF(M514="tout alignement chaotique", """3_CB"", ""6_CN"", ""9_CM""",IF(M514="tout alignement non loyal", """2_NB"", ""3_CB"", ""5_NN"", ""6_CN"", ""8_NM"", ""9_CM""",""""&amp;VLOOKUP(M514,Alignements!$A$2:$B$10,2, FALSE)&amp;""""))))))</f>
        <v>"7_LM"</v>
      </c>
      <c r="O514" s="297"/>
      <c r="P514" t="str">
        <f t="shared" si="23"/>
        <v>"Merregon": {
  "Name" : "Merregon",
  "VO" : "Merregon",
  "Family" : "FIEND",
  "Species" : ["DEVIL"],
  "FP" : "4", 
  "Size" : "M",
  "AC" : 16,
  "HP" : 45, 
  "Speed" : "",
  "Alignments" : ["7_LM"],
  "Legendary" : ""}</v>
      </c>
    </row>
    <row r="515" spans="1:16">
      <c r="A515" s="299" t="s">
        <v>5075</v>
      </c>
      <c r="B515" s="298" t="s">
        <v>5075</v>
      </c>
      <c r="C515" s="306">
        <v>3</v>
      </c>
      <c r="D515" s="298" t="s">
        <v>4173</v>
      </c>
      <c r="E515" s="297" t="str">
        <f t="shared" ref="E515:E578" si="24">IF(ISERROR( FIND("(",D515) ),D515,LEFT(D515, FIND("(",D515)-2))</f>
        <v>Fiélon</v>
      </c>
      <c r="F515" s="297" t="str">
        <f>VLOOKUP(E515,'Types de monstres'!$A$2:$B$17,2,FALSE)</f>
        <v>FIEND</v>
      </c>
      <c r="G515" s="297" t="str">
        <f t="shared" ref="G515:G578" si="25">IF(ISERROR( FIND("(",D515) ),"",RIGHT(LEFT(D515,LEN(D515)-1), LEN(D515)-FIND("(",D515)-1))</f>
        <v>yugoloth</v>
      </c>
      <c r="H515" s="297" t="str">
        <f>IF(OR(G515="",G515="toute race"),"",VLOOKUP(G515,'Types de monstres'!$F$2:$G$49,2,FALSE))</f>
        <v>YUGOLOTH</v>
      </c>
      <c r="I515" s="298" t="s">
        <v>4091</v>
      </c>
      <c r="J515" s="300">
        <v>13</v>
      </c>
      <c r="K515" s="300">
        <v>40</v>
      </c>
      <c r="L515" s="298" t="s">
        <v>4113</v>
      </c>
      <c r="M515" s="298" t="s">
        <v>4118</v>
      </c>
      <c r="N515" s="297" t="str">
        <f>IF(M515="sans alignement","",IF(M515="tout alignement", """1_LB"", ""2_NB"", ""3_CB"", ""4_LN"", ""5_NN"", ""6_CN"", ""7_LM"", ""8_NM"", ""9_CM""",IF(M515="tout alignement non bon", """4_LN"", ""5_NN"", ""6_CN"", ""7_LM"", ""8_NM"", ""9_CM""",IF(M515="tout alignement mauvais", """7_LM"", ""8_NM"", ""9_CM""",IF(M515="tout alignement chaotique", """3_CB"", ""6_CN"", ""9_CM""",IF(M515="tout alignement non loyal", """2_NB"", ""3_CB"", ""5_NN"", ""6_CN"", ""8_NM"", ""9_CM""",""""&amp;VLOOKUP(M515,Alignements!$A$2:$B$10,2, FALSE)&amp;""""))))))</f>
        <v>"8_NM"</v>
      </c>
      <c r="O515" s="298"/>
      <c r="P515" t="str">
        <f t="shared" ref="P515:P578" si="26">""""&amp;A515&amp;""": {
  ""Name"" : """&amp;A515&amp;""",
  ""VO"" : """&amp;B515&amp;""",
  ""Family"" : """&amp;F515&amp;""",
  ""Species"" : ["""&amp;SUBSTITUTE(H515,", ",""", """)&amp;"""],
  ""FP"" : """&amp;SUBSTITUTE(C515,"""","")&amp;""", 
  ""Size"" : """&amp;I515&amp;""",
  ""AC"" : "&amp;J515&amp;",
  ""HP"" : "&amp;K515&amp;", 
  ""Speed"" : """&amp;L515&amp;""",
  ""Alignments"" : ["&amp;N515&amp;"],
  ""Legendary"" : """&amp;O515&amp;"""}"</f>
        <v>"Merrenoloth": {
  "Name" : "Merrenoloth",
  "VO" : "Merrenoloth",
  "Family" : "FIEND",
  "Species" : ["YUGOLOTH"],
  "FP" : "3", 
  "Size" : "M",
  "AC" : 13,
  "HP" : 40, 
  "Speed" : "nage",
  "Alignments" : ["8_NM"],
  "Legendary" : ""}</v>
      </c>
    </row>
    <row r="516" spans="1:16">
      <c r="A516" s="61" t="s">
        <v>5076</v>
      </c>
      <c r="B516" s="297" t="s">
        <v>5076</v>
      </c>
      <c r="C516" s="305">
        <v>2</v>
      </c>
      <c r="D516" s="297" t="s">
        <v>4121</v>
      </c>
      <c r="E516" s="297" t="str">
        <f t="shared" si="24"/>
        <v>Créature monstrueuse</v>
      </c>
      <c r="F516" s="297" t="str">
        <f>VLOOKUP(E516,'Types de monstres'!$A$2:$B$17,2,FALSE)</f>
        <v>MONSTROUS_CREATURE</v>
      </c>
      <c r="G516" s="297" t="str">
        <f t="shared" si="25"/>
        <v/>
      </c>
      <c r="H516" s="297" t="str">
        <f>IF(OR(G516="",G516="toute race"),"",VLOOKUP(G516,'Types de monstres'!$F$2:$G$49,2,FALSE))</f>
        <v/>
      </c>
      <c r="I516" s="297" t="s">
        <v>4112</v>
      </c>
      <c r="J516" s="302">
        <v>13</v>
      </c>
      <c r="K516" s="302">
        <v>45</v>
      </c>
      <c r="L516" s="297" t="s">
        <v>4113</v>
      </c>
      <c r="M516" s="297" t="s">
        <v>4137</v>
      </c>
      <c r="N516" s="297" t="str">
        <f>IF(M516="sans alignement","",IF(M516="tout alignement", """1_LB"", ""2_NB"", ""3_CB"", ""4_LN"", ""5_NN"", ""6_CN"", ""7_LM"", ""8_NM"", ""9_CM""",IF(M516="tout alignement non bon", """4_LN"", ""5_NN"", ""6_CN"", ""7_LM"", ""8_NM"", ""9_CM""",IF(M516="tout alignement mauvais", """7_LM"", ""8_NM"", ""9_CM""",IF(M516="tout alignement chaotique", """3_CB"", ""6_CN"", ""9_CM""",IF(M516="tout alignement non loyal", """2_NB"", ""3_CB"", ""5_NN"", ""6_CN"", ""8_NM"", ""9_CM""",""""&amp;VLOOKUP(M516,Alignements!$A$2:$B$10,2, FALSE)&amp;""""))))))</f>
        <v>"9_CM"</v>
      </c>
      <c r="O516" s="297"/>
      <c r="P516" t="str">
        <f t="shared" si="26"/>
        <v>"Merrow": {
  "Name" : "Merrow",
  "VO" : "Merrow",
  "Family" : "MONSTROUS_CREATURE",
  "Species" : [""],
  "FP" : "2", 
  "Size" : "G",
  "AC" : 13,
  "HP" : 45, 
  "Speed" : "nage",
  "Alignments" : ["9_CM"],
  "Legendary" : ""}</v>
      </c>
    </row>
    <row r="517" spans="1:16" ht="21">
      <c r="A517" s="299" t="s">
        <v>5077</v>
      </c>
      <c r="B517" s="298" t="s">
        <v>5078</v>
      </c>
      <c r="C517" s="306">
        <v>4</v>
      </c>
      <c r="D517" s="298" t="s">
        <v>4121</v>
      </c>
      <c r="E517" s="297" t="str">
        <f t="shared" si="24"/>
        <v>Créature monstrueuse</v>
      </c>
      <c r="F517" s="297" t="str">
        <f>VLOOKUP(E517,'Types de monstres'!$A$2:$B$17,2,FALSE)</f>
        <v>MONSTROUS_CREATURE</v>
      </c>
      <c r="G517" s="297" t="str">
        <f t="shared" si="25"/>
        <v/>
      </c>
      <c r="H517" s="297" t="str">
        <f>IF(OR(G517="",G517="toute race"),"",VLOOKUP(G517,'Types de monstres'!$F$2:$G$49,2,FALSE))</f>
        <v/>
      </c>
      <c r="I517" s="298" t="s">
        <v>4112</v>
      </c>
      <c r="J517" s="300">
        <v>15</v>
      </c>
      <c r="K517" s="300">
        <v>75</v>
      </c>
      <c r="L517" s="298" t="s">
        <v>4113</v>
      </c>
      <c r="M517" s="298" t="s">
        <v>4137</v>
      </c>
      <c r="N517" s="297" t="str">
        <f>IF(M517="sans alignement","",IF(M517="tout alignement", """1_LB"", ""2_NB"", ""3_CB"", ""4_LN"", ""5_NN"", ""6_CN"", ""7_LM"", ""8_NM"", ""9_CM""",IF(M517="tout alignement non bon", """4_LN"", ""5_NN"", ""6_CN"", ""7_LM"", ""8_NM"", ""9_CM""",IF(M517="tout alignement mauvais", """7_LM"", ""8_NM"", ""9_CM""",IF(M517="tout alignement chaotique", """3_CB"", ""6_CN"", ""9_CM""",IF(M517="tout alignement non loyal", """2_NB"", ""3_CB"", ""5_NN"", ""6_CN"", ""8_NM"", ""9_CM""",""""&amp;VLOOKUP(M517,Alignements!$A$2:$B$10,2, FALSE)&amp;""""))))))</f>
        <v>"9_CM"</v>
      </c>
      <c r="O517" s="298"/>
      <c r="P517" t="str">
        <f t="shared" si="26"/>
        <v>"Merrow, prêtre de la surface": {
  "Name" : "Merrow, prêtre de la surface",
  "VO" : "Merrow Shallowpriest",
  "Family" : "MONSTROUS_CREATURE",
  "Species" : [""],
  "FP" : "4", 
  "Size" : "G",
  "AC" : 15,
  "HP" : 75, 
  "Speed" : "nage",
  "Alignments" : ["9_CM"],
  "Legendary" : ""}</v>
      </c>
    </row>
    <row r="518" spans="1:16" ht="21">
      <c r="A518" s="61" t="s">
        <v>5079</v>
      </c>
      <c r="B518" s="297" t="s">
        <v>5080</v>
      </c>
      <c r="C518" s="305" t="s">
        <v>5619</v>
      </c>
      <c r="D518" s="297" t="s">
        <v>4181</v>
      </c>
      <c r="E518" s="297" t="str">
        <f t="shared" si="24"/>
        <v>Créature artificielle</v>
      </c>
      <c r="F518" s="297" t="str">
        <f>VLOOKUP(E518,'Types de monstres'!$A$2:$B$17,2,FALSE)</f>
        <v>ARTIFICIAL_CREATURE</v>
      </c>
      <c r="G518" s="297" t="str">
        <f t="shared" si="25"/>
        <v/>
      </c>
      <c r="H518" s="297" t="str">
        <f>IF(OR(G518="",G518="toute race"),"",VLOOKUP(G518,'Types de monstres'!$F$2:$G$49,2,FALSE))</f>
        <v/>
      </c>
      <c r="I518" s="297" t="s">
        <v>4154</v>
      </c>
      <c r="J518" s="302">
        <v>13</v>
      </c>
      <c r="K518" s="302">
        <v>7</v>
      </c>
      <c r="L518" s="297" t="s">
        <v>4092</v>
      </c>
      <c r="M518" s="297" t="s">
        <v>4193</v>
      </c>
      <c r="N518" s="297" t="str">
        <f>IF(M518="sans alignement","",IF(M518="tout alignement", """1_LB"", ""2_NB"", ""3_CB"", ""4_LN"", ""5_NN"", ""6_CN"", ""7_LM"", ""8_NM"", ""9_CM""",IF(M518="tout alignement non bon", """4_LN"", ""5_NN"", ""6_CN"", ""7_LM"", ""8_NM"", ""9_CM""",IF(M518="tout alignement mauvais", """7_LM"", ""8_NM"", ""9_CM""",IF(M518="tout alignement chaotique", """3_CB"", ""6_CN"", ""9_CM""",IF(M518="tout alignement non loyal", """2_NB"", ""3_CB"", ""5_NN"", ""6_CN"", ""8_NM"", ""9_CM""",""""&amp;VLOOKUP(M518,Alignements!$A$2:$B$10,2, FALSE)&amp;""""))))))</f>
        <v>"5_NN"</v>
      </c>
      <c r="O518" s="297"/>
      <c r="P518" t="str">
        <f t="shared" si="26"/>
        <v>"Messager expéditif": {
  "Name" : "Messager expéditif",
  "VO" : "Expeditious Messenger",
  "Family" : "ARTIFICIAL_CREATURE",
  "Species" : [""],
  "FP" : "1/8", 
  "Size" : "TP",
  "AC" : 13,
  "HP" : 7, 
  "Speed" : "vol",
  "Alignments" : ["5_NN"],
  "Legendary" : ""}</v>
      </c>
    </row>
    <row r="519" spans="1:16">
      <c r="A519" s="61" t="s">
        <v>5081</v>
      </c>
      <c r="B519" s="298" t="s">
        <v>5081</v>
      </c>
      <c r="C519" s="306">
        <v>2</v>
      </c>
      <c r="D519" s="298" t="s">
        <v>4242</v>
      </c>
      <c r="E519" s="297" t="str">
        <f t="shared" si="24"/>
        <v>Humanoïde</v>
      </c>
      <c r="F519" s="297" t="str">
        <f>VLOOKUP(E519,'Types de monstres'!$A$2:$B$17,2,FALSE)</f>
        <v>HUMANOID</v>
      </c>
      <c r="G519" s="297" t="str">
        <f t="shared" si="25"/>
        <v>humain</v>
      </c>
      <c r="H519" s="297" t="str">
        <f>IF(OR(G519="",G519="toute race"),"",VLOOKUP(G519,'Types de monstres'!$F$2:$G$49,2,FALSE))</f>
        <v>HUMAN</v>
      </c>
      <c r="I519" s="298" t="s">
        <v>4091</v>
      </c>
      <c r="J519" s="300">
        <v>14</v>
      </c>
      <c r="K519" s="300">
        <v>28</v>
      </c>
      <c r="L519" s="298"/>
      <c r="M519" s="298" t="s">
        <v>4097</v>
      </c>
      <c r="N519" s="297" t="str">
        <f>IF(M519="sans alignement","",IF(M519="tout alignement", """1_LB"", ""2_NB"", ""3_CB"", ""4_LN"", ""5_NN"", ""6_CN"", ""7_LM"", ""8_NM"", ""9_CM""",IF(M519="tout alignement non bon", """4_LN"", ""5_NN"", ""6_CN"", ""7_LM"", ""8_NM"", ""9_CM""",IF(M519="tout alignement mauvais", """7_LM"", ""8_NM"", ""9_CM""",IF(M519="tout alignement chaotique", """3_CB"", ""6_CN"", ""9_CM""",IF(M519="tout alignement non loyal", """2_NB"", ""3_CB"", ""5_NN"", ""6_CN"", ""8_NM"", ""9_CM""",""""&amp;VLOOKUP(M519,Alignements!$A$2:$B$10,2, FALSE)&amp;""""))))))</f>
        <v>"7_LM"</v>
      </c>
      <c r="O519" s="298"/>
      <c r="P519" t="str">
        <f t="shared" si="26"/>
        <v>"Mez'Arate": {
  "Name" : "Mez'Arate",
  "VO" : "Mez'Arate",
  "Family" : "HUMANOID",
  "Species" : ["HUMAN"],
  "FP" : "2", 
  "Size" : "M",
  "AC" : 14,
  "HP" : 28, 
  "Speed" : "",
  "Alignments" : ["7_LM"],
  "Legendary" : ""}</v>
      </c>
    </row>
    <row r="520" spans="1:16">
      <c r="A520" s="61" t="s">
        <v>5082</v>
      </c>
      <c r="B520" s="297" t="s">
        <v>5082</v>
      </c>
      <c r="C520" s="305">
        <v>5</v>
      </c>
      <c r="D520" s="297" t="s">
        <v>4173</v>
      </c>
      <c r="E520" s="297" t="str">
        <f t="shared" si="24"/>
        <v>Fiélon</v>
      </c>
      <c r="F520" s="297" t="str">
        <f>VLOOKUP(E520,'Types de monstres'!$A$2:$B$17,2,FALSE)</f>
        <v>FIEND</v>
      </c>
      <c r="G520" s="297" t="str">
        <f t="shared" si="25"/>
        <v>yugoloth</v>
      </c>
      <c r="H520" s="297" t="str">
        <f>IF(OR(G520="",G520="toute race"),"",VLOOKUP(G520,'Types de monstres'!$F$2:$G$49,2,FALSE))</f>
        <v>YUGOLOTH</v>
      </c>
      <c r="I520" s="297" t="s">
        <v>4091</v>
      </c>
      <c r="J520" s="302">
        <v>18</v>
      </c>
      <c r="K520" s="302">
        <v>75</v>
      </c>
      <c r="L520" s="297"/>
      <c r="M520" s="297" t="s">
        <v>4118</v>
      </c>
      <c r="N520" s="297" t="str">
        <f>IF(M520="sans alignement","",IF(M520="tout alignement", """1_LB"", ""2_NB"", ""3_CB"", ""4_LN"", ""5_NN"", ""6_CN"", ""7_LM"", ""8_NM"", ""9_CM""",IF(M520="tout alignement non bon", """4_LN"", ""5_NN"", ""6_CN"", ""7_LM"", ""8_NM"", ""9_CM""",IF(M520="tout alignement mauvais", """7_LM"", ""8_NM"", ""9_CM""",IF(M520="tout alignement chaotique", """3_CB"", ""6_CN"", ""9_CM""",IF(M520="tout alignement non loyal", """2_NB"", ""3_CB"", ""5_NN"", ""6_CN"", ""8_NM"", ""9_CM""",""""&amp;VLOOKUP(M520,Alignements!$A$2:$B$10,2, FALSE)&amp;""""))))))</f>
        <v>"8_NM"</v>
      </c>
      <c r="O520" s="297"/>
      <c r="P520" t="str">
        <f t="shared" si="26"/>
        <v>"Mezzoloth": {
  "Name" : "Mezzoloth",
  "VO" : "Mezzoloth",
  "Family" : "FIEND",
  "Species" : ["YUGOLOTH"],
  "FP" : "5", 
  "Size" : "M",
  "AC" : 18,
  "HP" : 75, 
  "Speed" : "",
  "Alignments" : ["8_NM"],
  "Legendary" : ""}</v>
      </c>
    </row>
    <row r="521" spans="1:16">
      <c r="A521" s="61" t="s">
        <v>5083</v>
      </c>
      <c r="B521" s="298" t="s">
        <v>5084</v>
      </c>
      <c r="C521" s="306" t="s">
        <v>5618</v>
      </c>
      <c r="D521" s="298" t="s">
        <v>4128</v>
      </c>
      <c r="E521" s="297" t="str">
        <f t="shared" si="24"/>
        <v>Bête</v>
      </c>
      <c r="F521" s="297" t="str">
        <f>VLOOKUP(E521,'Types de monstres'!$A$2:$B$17,2,FALSE)</f>
        <v>BEAST</v>
      </c>
      <c r="G521" s="297" t="str">
        <f t="shared" si="25"/>
        <v/>
      </c>
      <c r="H521" s="297" t="str">
        <f>IF(OR(G521="",G521="toute race"),"",VLOOKUP(G521,'Types de monstres'!$F$2:$G$49,2,FALSE))</f>
        <v/>
      </c>
      <c r="I521" s="298" t="s">
        <v>4129</v>
      </c>
      <c r="J521" s="300">
        <v>13</v>
      </c>
      <c r="K521" s="300">
        <v>4</v>
      </c>
      <c r="L521" s="298"/>
      <c r="M521" s="298" t="s">
        <v>4130</v>
      </c>
      <c r="N521" s="297" t="str">
        <f>IF(M521="sans alignement","",IF(M521="tout alignement", """1_LB"", ""2_NB"", ""3_CB"", ""4_LN"", ""5_NN"", ""6_CN"", ""7_LM"", ""8_NM"", ""9_CM""",IF(M521="tout alignement non bon", """4_LN"", ""5_NN"", ""6_CN"", ""7_LM"", ""8_NM"", ""9_CM""",IF(M521="tout alignement mauvais", """7_LM"", ""8_NM"", ""9_CM""",IF(M521="tout alignement chaotique", """3_CB"", ""6_CN"", ""9_CM""",IF(M521="tout alignement non loyal", """2_NB"", ""3_CB"", ""5_NN"", ""6_CN"", ""8_NM"", ""9_CM""",""""&amp;VLOOKUP(M521,Alignements!$A$2:$B$10,2, FALSE)&amp;""""))))))</f>
        <v/>
      </c>
      <c r="O521" s="298"/>
      <c r="P521" t="str">
        <f t="shared" si="26"/>
        <v>"Mille-pattes géant": {
  "Name" : "Mille-pattes géant",
  "VO" : "Giant Centipede",
  "Family" : "BEAST",
  "Species" : [""],
  "FP" : "1/4", 
  "Size" : "P",
  "AC" : 13,
  "HP" : 4, 
  "Speed" : "",
  "Alignments" : [],
  "Legendary" : ""}</v>
      </c>
    </row>
    <row r="522" spans="1:16" ht="21">
      <c r="A522" s="61" t="s">
        <v>5085</v>
      </c>
      <c r="B522" s="297" t="s">
        <v>5086</v>
      </c>
      <c r="C522" s="305">
        <v>2</v>
      </c>
      <c r="D522" s="297" t="s">
        <v>4445</v>
      </c>
      <c r="E522" s="297" t="str">
        <f t="shared" si="24"/>
        <v>Créature monstrueuse</v>
      </c>
      <c r="F522" s="297" t="str">
        <f>VLOOKUP(E522,'Types de monstres'!$A$2:$B$17,2,FALSE)</f>
        <v>MONSTROUS_CREATURE</v>
      </c>
      <c r="G522" s="297" t="str">
        <f t="shared" si="25"/>
        <v>métamorphe</v>
      </c>
      <c r="H522" s="297" t="str">
        <f>IF(OR(G522="",G522="toute race"),"",VLOOKUP(G522,'Types de monstres'!$F$2:$G$49,2,FALSE))</f>
        <v>METAMORPH</v>
      </c>
      <c r="I522" s="297" t="s">
        <v>4091</v>
      </c>
      <c r="J522" s="302">
        <v>12</v>
      </c>
      <c r="K522" s="302">
        <v>58</v>
      </c>
      <c r="L522" s="297"/>
      <c r="M522" s="297" t="s">
        <v>4193</v>
      </c>
      <c r="N522" s="297" t="str">
        <f>IF(M522="sans alignement","",IF(M522="tout alignement", """1_LB"", ""2_NB"", ""3_CB"", ""4_LN"", ""5_NN"", ""6_CN"", ""7_LM"", ""8_NM"", ""9_CM""",IF(M522="tout alignement non bon", """4_LN"", ""5_NN"", ""6_CN"", ""7_LM"", ""8_NM"", ""9_CM""",IF(M522="tout alignement mauvais", """7_LM"", ""8_NM"", ""9_CM""",IF(M522="tout alignement chaotique", """3_CB"", ""6_CN"", ""9_CM""",IF(M522="tout alignement non loyal", """2_NB"", ""3_CB"", ""5_NN"", ""6_CN"", ""8_NM"", ""9_CM""",""""&amp;VLOOKUP(M522,Alignements!$A$2:$B$10,2, FALSE)&amp;""""))))))</f>
        <v>"5_NN"</v>
      </c>
      <c r="O522" s="297"/>
      <c r="P522" t="str">
        <f t="shared" si="26"/>
        <v>"Mimique": {
  "Name" : "Mimique",
  "VO" : "Mimic",
  "Family" : "MONSTROUS_CREATURE",
  "Species" : ["METAMORPH"],
  "FP" : "2", 
  "Size" : "M",
  "AC" : 12,
  "HP" : 58, 
  "Speed" : "",
  "Alignments" : ["5_NN"],
  "Legendary" : ""}</v>
      </c>
    </row>
    <row r="523" spans="1:16">
      <c r="A523" s="61" t="s">
        <v>5087</v>
      </c>
      <c r="B523" s="298" t="s">
        <v>5088</v>
      </c>
      <c r="C523" s="306">
        <v>3</v>
      </c>
      <c r="D523" s="298" t="s">
        <v>4121</v>
      </c>
      <c r="E523" s="297" t="str">
        <f t="shared" si="24"/>
        <v>Créature monstrueuse</v>
      </c>
      <c r="F523" s="297" t="str">
        <f>VLOOKUP(E523,'Types de monstres'!$A$2:$B$17,2,FALSE)</f>
        <v>MONSTROUS_CREATURE</v>
      </c>
      <c r="G523" s="297" t="str">
        <f t="shared" si="25"/>
        <v/>
      </c>
      <c r="H523" s="297" t="str">
        <f>IF(OR(G523="",G523="toute race"),"",VLOOKUP(G523,'Types de monstres'!$F$2:$G$49,2,FALSE))</f>
        <v/>
      </c>
      <c r="I523" s="298" t="s">
        <v>4112</v>
      </c>
      <c r="J523" s="300">
        <v>14</v>
      </c>
      <c r="K523" s="300">
        <v>76</v>
      </c>
      <c r="L523" s="298"/>
      <c r="M523" s="298" t="s">
        <v>4137</v>
      </c>
      <c r="N523" s="297" t="str">
        <f>IF(M523="sans alignement","",IF(M523="tout alignement", """1_LB"", ""2_NB"", ""3_CB"", ""4_LN"", ""5_NN"", ""6_CN"", ""7_LM"", ""8_NM"", ""9_CM""",IF(M523="tout alignement non bon", """4_LN"", ""5_NN"", ""6_CN"", ""7_LM"", ""8_NM"", ""9_CM""",IF(M523="tout alignement mauvais", """7_LM"", ""8_NM"", ""9_CM""",IF(M523="tout alignement chaotique", """3_CB"", ""6_CN"", ""9_CM""",IF(M523="tout alignement non loyal", """2_NB"", ""3_CB"", ""5_NN"", ""6_CN"", ""8_NM"", ""9_CM""",""""&amp;VLOOKUP(M523,Alignements!$A$2:$B$10,2, FALSE)&amp;""""))))))</f>
        <v>"9_CM"</v>
      </c>
      <c r="O523" s="298"/>
      <c r="P523" t="str">
        <f t="shared" si="26"/>
        <v>"Minotaure": {
  "Name" : "Minotaure",
  "VO" : "Minotaur",
  "Family" : "MONSTROUS_CREATURE",
  "Species" : [""],
  "FP" : "3", 
  "Size" : "G",
  "AC" : 14,
  "HP" : 76, 
  "Speed" : "",
  "Alignments" : ["9_CM"],
  "Legendary" : ""}</v>
      </c>
    </row>
    <row r="524" spans="1:16">
      <c r="A524" s="61" t="s">
        <v>5089</v>
      </c>
      <c r="B524" s="297" t="s">
        <v>5090</v>
      </c>
      <c r="C524" s="305">
        <v>2</v>
      </c>
      <c r="D524" s="297" t="s">
        <v>4117</v>
      </c>
      <c r="E524" s="297" t="str">
        <f t="shared" si="24"/>
        <v>Mort-vivant</v>
      </c>
      <c r="F524" s="297" t="str">
        <f>VLOOKUP(E524,'Types de monstres'!$A$2:$B$17,2,FALSE)</f>
        <v>UNDEAD</v>
      </c>
      <c r="G524" s="297" t="str">
        <f t="shared" si="25"/>
        <v/>
      </c>
      <c r="H524" s="297" t="str">
        <f>IF(OR(G524="",G524="toute race"),"",VLOOKUP(G524,'Types de monstres'!$F$2:$G$49,2,FALSE))</f>
        <v/>
      </c>
      <c r="I524" s="297" t="s">
        <v>4112</v>
      </c>
      <c r="J524" s="302">
        <v>12</v>
      </c>
      <c r="K524" s="302">
        <v>67</v>
      </c>
      <c r="L524" s="297"/>
      <c r="M524" s="297" t="s">
        <v>4097</v>
      </c>
      <c r="N524" s="297" t="str">
        <f>IF(M524="sans alignement","",IF(M524="tout alignement", """1_LB"", ""2_NB"", ""3_CB"", ""4_LN"", ""5_NN"", ""6_CN"", ""7_LM"", ""8_NM"", ""9_CM""",IF(M524="tout alignement non bon", """4_LN"", ""5_NN"", ""6_CN"", ""7_LM"", ""8_NM"", ""9_CM""",IF(M524="tout alignement mauvais", """7_LM"", ""8_NM"", ""9_CM""",IF(M524="tout alignement chaotique", """3_CB"", ""6_CN"", ""9_CM""",IF(M524="tout alignement non loyal", """2_NB"", ""3_CB"", ""5_NN"", ""6_CN"", ""8_NM"", ""9_CM""",""""&amp;VLOOKUP(M524,Alignements!$A$2:$B$10,2, FALSE)&amp;""""))))))</f>
        <v>"7_LM"</v>
      </c>
      <c r="O524" s="297"/>
      <c r="P524" t="str">
        <f t="shared" si="26"/>
        <v>"Minotaure squelette": {
  "Name" : "Minotaure squelette",
  "VO" : "Minotaur Skeleton",
  "Family" : "UNDEAD",
  "Species" : [""],
  "FP" : "2", 
  "Size" : "G",
  "AC" : 12,
  "HP" : 67, 
  "Speed" : "",
  "Alignments" : ["7_LM"],
  "Legendary" : ""}</v>
      </c>
    </row>
    <row r="525" spans="1:16">
      <c r="A525" s="61" t="s">
        <v>5091</v>
      </c>
      <c r="B525" s="298" t="s">
        <v>5092</v>
      </c>
      <c r="C525" s="306" t="s">
        <v>5618</v>
      </c>
      <c r="D525" s="298" t="s">
        <v>4167</v>
      </c>
      <c r="E525" s="297" t="str">
        <f t="shared" si="24"/>
        <v>Plante</v>
      </c>
      <c r="F525" s="297" t="str">
        <f>VLOOKUP(E525,'Types de monstres'!$A$2:$B$17,2,FALSE)</f>
        <v>PLANT</v>
      </c>
      <c r="G525" s="297" t="str">
        <f t="shared" si="25"/>
        <v/>
      </c>
      <c r="H525" s="297" t="str">
        <f>IF(OR(G525="",G525="toute race"),"",VLOOKUP(G525,'Types de monstres'!$F$2:$G$49,2,FALSE))</f>
        <v/>
      </c>
      <c r="I525" s="298" t="s">
        <v>4091</v>
      </c>
      <c r="J525" s="300">
        <v>5</v>
      </c>
      <c r="K525" s="300">
        <v>18</v>
      </c>
      <c r="L525" s="298"/>
      <c r="M525" s="298" t="s">
        <v>4130</v>
      </c>
      <c r="N525" s="297" t="str">
        <f>IF(M525="sans alignement","",IF(M525="tout alignement", """1_LB"", ""2_NB"", ""3_CB"", ""4_LN"", ""5_NN"", ""6_CN"", ""7_LM"", ""8_NM"", ""9_CM""",IF(M525="tout alignement non bon", """4_LN"", ""5_NN"", ""6_CN"", ""7_LM"", ""8_NM"", ""9_CM""",IF(M525="tout alignement mauvais", """7_LM"", ""8_NM"", ""9_CM""",IF(M525="tout alignement chaotique", """3_CB"", ""6_CN"", ""9_CM""",IF(M525="tout alignement non loyal", """2_NB"", ""3_CB"", ""5_NN"", ""6_CN"", ""8_NM"", ""9_CM""",""""&amp;VLOOKUP(M525,Alignements!$A$2:$B$10,2, FALSE)&amp;""""))))))</f>
        <v/>
      </c>
      <c r="O525" s="298"/>
      <c r="P525" t="str">
        <f t="shared" si="26"/>
        <v>"Moisissure violette": {
  "Name" : "Moisissure violette",
  "VO" : "Violet Fungus",
  "Family" : "PLANT",
  "Species" : [""],
  "FP" : "1/4", 
  "Size" : "M",
  "AC" : 5,
  "HP" : 18, 
  "Speed" : "",
  "Alignments" : [],
  "Legendary" : ""}</v>
      </c>
    </row>
    <row r="526" spans="1:16">
      <c r="A526" s="61" t="s">
        <v>5093</v>
      </c>
      <c r="B526" s="297" t="s">
        <v>5093</v>
      </c>
      <c r="C526" s="305">
        <v>21</v>
      </c>
      <c r="D526" s="297" t="s">
        <v>4096</v>
      </c>
      <c r="E526" s="297" t="str">
        <f t="shared" si="24"/>
        <v>Fiélon</v>
      </c>
      <c r="F526" s="297" t="str">
        <f>VLOOKUP(E526,'Types de monstres'!$A$2:$B$17,2,FALSE)</f>
        <v>FIEND</v>
      </c>
      <c r="G526" s="297" t="str">
        <f t="shared" si="25"/>
        <v>diable</v>
      </c>
      <c r="H526" s="297" t="str">
        <f>IF(OR(G526="",G526="toute race"),"",VLOOKUP(G526,'Types de monstres'!$F$2:$G$49,2,FALSE))</f>
        <v>DEVIL</v>
      </c>
      <c r="I526" s="297" t="s">
        <v>4112</v>
      </c>
      <c r="J526" s="302">
        <v>19</v>
      </c>
      <c r="K526" s="302">
        <v>253</v>
      </c>
      <c r="L526" s="297"/>
      <c r="M526" s="297" t="s">
        <v>4097</v>
      </c>
      <c r="N526" s="297" t="str">
        <f>IF(M526="sans alignement","",IF(M526="tout alignement", """1_LB"", ""2_NB"", ""3_CB"", ""4_LN"", ""5_NN"", ""6_CN"", ""7_LM"", ""8_NM"", ""9_CM""",IF(M526="tout alignement non bon", """4_LN"", ""5_NN"", ""6_CN"", ""7_LM"", ""8_NM"", ""9_CM""",IF(M526="tout alignement mauvais", """7_LM"", ""8_NM"", ""9_CM""",IF(M526="tout alignement chaotique", """3_CB"", ""6_CN"", ""9_CM""",IF(M526="tout alignement non loyal", """2_NB"", ""3_CB"", ""5_NN"", ""6_CN"", ""8_NM"", ""9_CM""",""""&amp;VLOOKUP(M526,Alignements!$A$2:$B$10,2, FALSE)&amp;""""))))))</f>
        <v>"7_LM"</v>
      </c>
      <c r="O526" s="297" t="s">
        <v>4114</v>
      </c>
      <c r="P526" t="str">
        <f t="shared" si="26"/>
        <v>"Moloch": {
  "Name" : "Moloch",
  "VO" : "Moloch",
  "Family" : "FIEND",
  "Species" : ["DEVIL"],
  "FP" : "21", 
  "Size" : "G",
  "AC" : 19,
  "HP" : 253, 
  "Speed" : "",
  "Alignments" : ["7_LM"],
  "Legendary" : "Légendaire"}</v>
      </c>
    </row>
    <row r="527" spans="1:16">
      <c r="A527" s="61" t="s">
        <v>763</v>
      </c>
      <c r="B527" s="298" t="s">
        <v>5094</v>
      </c>
      <c r="C527" s="306" t="s">
        <v>5619</v>
      </c>
      <c r="D527" s="298" t="s">
        <v>4128</v>
      </c>
      <c r="E527" s="297" t="str">
        <f t="shared" si="24"/>
        <v>Bête</v>
      </c>
      <c r="F527" s="297" t="str">
        <f>VLOOKUP(E527,'Types de monstres'!$A$2:$B$17,2,FALSE)</f>
        <v>BEAST</v>
      </c>
      <c r="G527" s="297" t="str">
        <f t="shared" si="25"/>
        <v/>
      </c>
      <c r="H527" s="297" t="str">
        <f>IF(OR(G527="",G527="toute race"),"",VLOOKUP(G527,'Types de monstres'!$F$2:$G$49,2,FALSE))</f>
        <v/>
      </c>
      <c r="I527" s="298" t="s">
        <v>4091</v>
      </c>
      <c r="J527" s="300">
        <v>12</v>
      </c>
      <c r="K527" s="300">
        <v>5</v>
      </c>
      <c r="L527" s="298"/>
      <c r="M527" s="298" t="s">
        <v>4130</v>
      </c>
      <c r="N527" s="297" t="str">
        <f>IF(M527="sans alignement","",IF(M527="tout alignement", """1_LB"", ""2_NB"", ""3_CB"", ""4_LN"", ""5_NN"", ""6_CN"", ""7_LM"", ""8_NM"", ""9_CM""",IF(M527="tout alignement non bon", """4_LN"", ""5_NN"", ""6_CN"", ""7_LM"", ""8_NM"", ""9_CM""",IF(M527="tout alignement mauvais", """7_LM"", ""8_NM"", ""9_CM""",IF(M527="tout alignement chaotique", """3_CB"", ""6_CN"", ""9_CM""",IF(M527="tout alignement non loyal", """2_NB"", ""3_CB"", ""5_NN"", ""6_CN"", ""8_NM"", ""9_CM""",""""&amp;VLOOKUP(M527,Alignements!$A$2:$B$10,2, FALSE)&amp;""""))))))</f>
        <v/>
      </c>
      <c r="O527" s="298"/>
      <c r="P527" t="str">
        <f t="shared" si="26"/>
        <v>"Molosse": {
  "Name" : "Molosse",
  "VO" : "Mastiff",
  "Family" : "BEAST",
  "Species" : [""],
  "FP" : "1/8", 
  "Size" : "M",
  "AC" : 12,
  "HP" : 5, 
  "Speed" : "",
  "Alignments" : [],
  "Legendary" : ""}</v>
      </c>
    </row>
    <row r="528" spans="1:16">
      <c r="A528" s="61" t="s">
        <v>5095</v>
      </c>
      <c r="B528" s="297" t="s">
        <v>5096</v>
      </c>
      <c r="C528" s="305">
        <v>4</v>
      </c>
      <c r="D528" s="297" t="s">
        <v>4253</v>
      </c>
      <c r="E528" s="297" t="str">
        <f t="shared" si="24"/>
        <v>Fée</v>
      </c>
      <c r="F528" s="297" t="str">
        <f>VLOOKUP(E528,'Types de monstres'!$A$2:$B$17,2,FALSE)</f>
        <v>FAIRY</v>
      </c>
      <c r="G528" s="297" t="str">
        <f t="shared" si="25"/>
        <v/>
      </c>
      <c r="H528" s="297" t="str">
        <f>IF(OR(G528="",G528="toute race"),"",VLOOKUP(G528,'Types de monstres'!$F$2:$G$49,2,FALSE))</f>
        <v/>
      </c>
      <c r="I528" s="297" t="s">
        <v>4112</v>
      </c>
      <c r="J528" s="302">
        <v>14</v>
      </c>
      <c r="K528" s="302">
        <v>51</v>
      </c>
      <c r="L528" s="297" t="s">
        <v>4092</v>
      </c>
      <c r="M528" s="297" t="s">
        <v>4118</v>
      </c>
      <c r="N528" s="297" t="str">
        <f>IF(M528="sans alignement","",IF(M528="tout alignement", """1_LB"", ""2_NB"", ""3_CB"", ""4_LN"", ""5_NN"", ""6_CN"", ""7_LM"", ""8_NM"", ""9_CM""",IF(M528="tout alignement non bon", """4_LN"", ""5_NN"", ""6_CN"", ""7_LM"", ""8_NM"", ""9_CM""",IF(M528="tout alignement mauvais", """7_LM"", ""8_NM"", ""9_CM""",IF(M528="tout alignement chaotique", """3_CB"", ""6_CN"", ""9_CM""",IF(M528="tout alignement non loyal", """2_NB"", ""3_CB"", ""5_NN"", ""6_CN"", ""8_NM"", ""9_CM""",""""&amp;VLOOKUP(M528,Alignements!$A$2:$B$10,2, FALSE)&amp;""""))))))</f>
        <v>"8_NM"</v>
      </c>
      <c r="O528" s="297"/>
      <c r="P528" t="str">
        <f t="shared" si="26"/>
        <v>"Molosse de Yeth": {
  "Name" : "Molosse de Yeth",
  "VO" : "Yeth Hound",
  "Family" : "FAIRY",
  "Species" : [""],
  "FP" : "4", 
  "Size" : "G",
  "AC" : 14,
  "HP" : 51, 
  "Speed" : "vol",
  "Alignments" : ["8_NM"],
  "Legendary" : ""}</v>
      </c>
    </row>
    <row r="529" spans="1:16" ht="21">
      <c r="A529" s="299" t="s">
        <v>5097</v>
      </c>
      <c r="B529" s="298" t="s">
        <v>5098</v>
      </c>
      <c r="C529" s="306">
        <v>2</v>
      </c>
      <c r="D529" s="298" t="s">
        <v>4121</v>
      </c>
      <c r="E529" s="297" t="str">
        <f t="shared" si="24"/>
        <v>Créature monstrueuse</v>
      </c>
      <c r="F529" s="297" t="str">
        <f>VLOOKUP(E529,'Types de monstres'!$A$2:$B$17,2,FALSE)</f>
        <v>MONSTROUS_CREATURE</v>
      </c>
      <c r="G529" s="297" t="str">
        <f t="shared" si="25"/>
        <v/>
      </c>
      <c r="H529" s="297" t="str">
        <f>IF(OR(G529="",G529="toute race"),"",VLOOKUP(G529,'Types de monstres'!$F$2:$G$49,2,FALSE))</f>
        <v/>
      </c>
      <c r="I529" s="298" t="s">
        <v>4091</v>
      </c>
      <c r="J529" s="300">
        <v>12</v>
      </c>
      <c r="K529" s="300">
        <v>33</v>
      </c>
      <c r="L529" s="298"/>
      <c r="M529" s="298" t="s">
        <v>4118</v>
      </c>
      <c r="N529" s="297" t="str">
        <f>IF(M529="sans alignement","",IF(M529="tout alignement", """1_LB"", ""2_NB"", ""3_CB"", ""4_LN"", ""5_NN"", ""6_CN"", ""7_LM"", ""8_NM"", ""9_CM""",IF(M529="tout alignement non bon", """4_LN"", ""5_NN"", ""6_CN"", ""7_LM"", ""8_NM"", ""9_CM""",IF(M529="tout alignement mauvais", """7_LM"", ""8_NM"", ""9_CM""",IF(M529="tout alignement chaotique", """3_CB"", ""6_CN"", ""9_CM""",IF(M529="tout alignement non loyal", """2_NB"", ""3_CB"", ""5_NN"", ""6_CN"", ""8_NM"", ""9_CM""",""""&amp;VLOOKUP(M529,Alignements!$A$2:$B$10,2, FALSE)&amp;""""))))))</f>
        <v>"8_NM"</v>
      </c>
      <c r="O529" s="298"/>
      <c r="P529" t="str">
        <f t="shared" si="26"/>
        <v>"Molosse des ombres": {
  "Name" : "Molosse des ombres",
  "VO" : "Shadow Mastiff",
  "Family" : "MONSTROUS_CREATURE",
  "Species" : [""],
  "FP" : "2", 
  "Size" : "M",
  "AC" : 12,
  "HP" : 33, 
  "Speed" : "",
  "Alignments" : ["8_NM"],
  "Legendary" : ""}</v>
      </c>
    </row>
    <row r="530" spans="1:16">
      <c r="A530" s="61" t="s">
        <v>5099</v>
      </c>
      <c r="B530" s="297" t="s">
        <v>5100</v>
      </c>
      <c r="C530" s="305" t="s">
        <v>5620</v>
      </c>
      <c r="D530" s="297" t="s">
        <v>4253</v>
      </c>
      <c r="E530" s="297" t="str">
        <f t="shared" si="24"/>
        <v>Fée</v>
      </c>
      <c r="F530" s="297" t="str">
        <f>VLOOKUP(E530,'Types de monstres'!$A$2:$B$17,2,FALSE)</f>
        <v>FAIRY</v>
      </c>
      <c r="G530" s="297" t="str">
        <f t="shared" si="25"/>
        <v/>
      </c>
      <c r="H530" s="297" t="str">
        <f>IF(OR(G530="",G530="toute race"),"",VLOOKUP(G530,'Types de monstres'!$F$2:$G$49,2,FALSE))</f>
        <v/>
      </c>
      <c r="I530" s="297" t="s">
        <v>4091</v>
      </c>
      <c r="J530" s="302">
        <v>14</v>
      </c>
      <c r="K530" s="302">
        <v>19</v>
      </c>
      <c r="L530" s="297"/>
      <c r="M530" s="297" t="s">
        <v>4193</v>
      </c>
      <c r="N530" s="297" t="str">
        <f>IF(M530="sans alignement","",IF(M530="tout alignement", """1_LB"", ""2_NB"", ""3_CB"", ""4_LN"", ""5_NN"", ""6_CN"", ""7_LM"", ""8_NM"", ""9_CM""",IF(M530="tout alignement non bon", """4_LN"", ""5_NN"", ""6_CN"", ""7_LM"", ""8_NM"", ""9_CM""",IF(M530="tout alignement mauvais", """7_LM"", ""8_NM"", ""9_CM""",IF(M530="tout alignement chaotique", """3_CB"", ""6_CN"", ""9_CM""",IF(M530="tout alignement non loyal", """2_NB"", ""3_CB"", ""5_NN"", ""6_CN"", ""8_NM"", ""9_CM""",""""&amp;VLOOKUP(M530,Alignements!$A$2:$B$10,2, FALSE)&amp;""""))))))</f>
        <v>"5_NN"</v>
      </c>
      <c r="O530" s="297"/>
      <c r="P530" t="str">
        <f t="shared" si="26"/>
        <v>"Molosse du Valénar": {
  "Name" : "Molosse du Valénar",
  "VO" : "Valenar Hound",
  "Family" : "FAIRY",
  "Species" : [""],
  "FP" : "1/2", 
  "Size" : "M",
  "AC" : 14,
  "HP" : 19, 
  "Speed" : "",
  "Alignments" : ["5_NN"],
  "Legendary" : ""}</v>
      </c>
    </row>
    <row r="531" spans="1:16">
      <c r="A531" s="61" t="s">
        <v>5101</v>
      </c>
      <c r="B531" s="298" t="s">
        <v>5102</v>
      </c>
      <c r="C531" s="306">
        <v>3</v>
      </c>
      <c r="D531" s="298" t="s">
        <v>2914</v>
      </c>
      <c r="E531" s="297" t="str">
        <f t="shared" si="24"/>
        <v>Fiélon</v>
      </c>
      <c r="F531" s="297" t="str">
        <f>VLOOKUP(E531,'Types de monstres'!$A$2:$B$17,2,FALSE)</f>
        <v>FIEND</v>
      </c>
      <c r="G531" s="297" t="str">
        <f t="shared" si="25"/>
        <v/>
      </c>
      <c r="H531" s="297" t="str">
        <f>IF(OR(G531="",G531="toute race"),"",VLOOKUP(G531,'Types de monstres'!$F$2:$G$49,2,FALSE))</f>
        <v/>
      </c>
      <c r="I531" s="298" t="s">
        <v>4091</v>
      </c>
      <c r="J531" s="300">
        <v>15</v>
      </c>
      <c r="K531" s="300">
        <v>45</v>
      </c>
      <c r="L531" s="298"/>
      <c r="M531" s="298" t="s">
        <v>4097</v>
      </c>
      <c r="N531" s="297" t="str">
        <f>IF(M531="sans alignement","",IF(M531="tout alignement", """1_LB"", ""2_NB"", ""3_CB"", ""4_LN"", ""5_NN"", ""6_CN"", ""7_LM"", ""8_NM"", ""9_CM""",IF(M531="tout alignement non bon", """4_LN"", ""5_NN"", ""6_CN"", ""7_LM"", ""8_NM"", ""9_CM""",IF(M531="tout alignement mauvais", """7_LM"", ""8_NM"", ""9_CM""",IF(M531="tout alignement chaotique", """3_CB"", ""6_CN"", ""9_CM""",IF(M531="tout alignement non loyal", """2_NB"", ""3_CB"", ""5_NN"", ""6_CN"", ""8_NM"", ""9_CM""",""""&amp;VLOOKUP(M531,Alignements!$A$2:$B$10,2, FALSE)&amp;""""))))))</f>
        <v>"7_LM"</v>
      </c>
      <c r="O531" s="298"/>
      <c r="P531" t="str">
        <f t="shared" si="26"/>
        <v>"Molosse infernal": {
  "Name" : "Molosse infernal",
  "VO" : "Hell Hound",
  "Family" : "FIEND",
  "Species" : [""],
  "FP" : "3", 
  "Size" : "M",
  "AC" : 15,
  "HP" : 45, 
  "Speed" : "",
  "Alignments" : ["7_LM"],
  "Legendary" : ""}</v>
      </c>
    </row>
    <row r="532" spans="1:16">
      <c r="A532" s="301" t="s">
        <v>5103</v>
      </c>
      <c r="B532" s="297" t="s">
        <v>5103</v>
      </c>
      <c r="C532" s="305">
        <v>21</v>
      </c>
      <c r="D532" s="297" t="s">
        <v>4136</v>
      </c>
      <c r="E532" s="297" t="str">
        <f t="shared" si="24"/>
        <v>Fiélon</v>
      </c>
      <c r="F532" s="297" t="str">
        <f>VLOOKUP(E532,'Types de monstres'!$A$2:$B$17,2,FALSE)</f>
        <v>FIEND</v>
      </c>
      <c r="G532" s="297" t="str">
        <f t="shared" si="25"/>
        <v>démon</v>
      </c>
      <c r="H532" s="297" t="str">
        <f>IF(OR(G532="",G532="toute race"),"",VLOOKUP(G532,'Types de monstres'!$F$2:$G$49,2,FALSE))</f>
        <v>DAEMON</v>
      </c>
      <c r="I532" s="297" t="s">
        <v>4149</v>
      </c>
      <c r="J532" s="302">
        <v>19</v>
      </c>
      <c r="K532" s="302">
        <v>216</v>
      </c>
      <c r="L532" s="297"/>
      <c r="M532" s="297" t="s">
        <v>4137</v>
      </c>
      <c r="N532" s="297" t="str">
        <f>IF(M532="sans alignement","",IF(M532="tout alignement", """1_LB"", ""2_NB"", ""3_CB"", ""4_LN"", ""5_NN"", ""6_CN"", ""7_LM"", ""8_NM"", ""9_CM""",IF(M532="tout alignement non bon", """4_LN"", ""5_NN"", ""6_CN"", ""7_LM"", ""8_NM"", ""9_CM""",IF(M532="tout alignement mauvais", """7_LM"", ""8_NM"", ""9_CM""",IF(M532="tout alignement chaotique", """3_CB"", ""6_CN"", ""9_CM""",IF(M532="tout alignement non loyal", """2_NB"", ""3_CB"", ""5_NN"", ""6_CN"", ""8_NM"", ""9_CM""",""""&amp;VLOOKUP(M532,Alignements!$A$2:$B$10,2, FALSE)&amp;""""))))))</f>
        <v>"9_CM"</v>
      </c>
      <c r="O532" s="297"/>
      <c r="P532" t="str">
        <f t="shared" si="26"/>
        <v>"Molydeus": {
  "Name" : "Molydeus",
  "VO" : "Molydeus",
  "Family" : "FIEND",
  "Species" : ["DAEMON"],
  "FP" : "21", 
  "Size" : "TG",
  "AC" : 19,
  "HP" : 216, 
  "Speed" : "",
  "Alignments" : ["9_CM"],
  "Legendary" : ""}</v>
      </c>
    </row>
    <row r="533" spans="1:16">
      <c r="A533" s="61" t="s">
        <v>5104</v>
      </c>
      <c r="B533" s="298" t="s">
        <v>5105</v>
      </c>
      <c r="C533" s="306">
        <v>3</v>
      </c>
      <c r="D533" s="298" t="s">
        <v>4117</v>
      </c>
      <c r="E533" s="297" t="str">
        <f t="shared" si="24"/>
        <v>Mort-vivant</v>
      </c>
      <c r="F533" s="297" t="str">
        <f>VLOOKUP(E533,'Types de monstres'!$A$2:$B$17,2,FALSE)</f>
        <v>UNDEAD</v>
      </c>
      <c r="G533" s="297" t="str">
        <f t="shared" si="25"/>
        <v/>
      </c>
      <c r="H533" s="297" t="str">
        <f>IF(OR(G533="",G533="toute race"),"",VLOOKUP(G533,'Types de monstres'!$F$2:$G$49,2,FALSE))</f>
        <v/>
      </c>
      <c r="I533" s="298" t="s">
        <v>4091</v>
      </c>
      <c r="J533" s="300">
        <v>11</v>
      </c>
      <c r="K533" s="300">
        <v>58</v>
      </c>
      <c r="L533" s="298"/>
      <c r="M533" s="298" t="s">
        <v>4097</v>
      </c>
      <c r="N533" s="297" t="str">
        <f>IF(M533="sans alignement","",IF(M533="tout alignement", """1_LB"", ""2_NB"", ""3_CB"", ""4_LN"", ""5_NN"", ""6_CN"", ""7_LM"", ""8_NM"", ""9_CM""",IF(M533="tout alignement non bon", """4_LN"", ""5_NN"", ""6_CN"", ""7_LM"", ""8_NM"", ""9_CM""",IF(M533="tout alignement mauvais", """7_LM"", ""8_NM"", ""9_CM""",IF(M533="tout alignement chaotique", """3_CB"", ""6_CN"", ""9_CM""",IF(M533="tout alignement non loyal", """2_NB"", ""3_CB"", ""5_NN"", ""6_CN"", ""8_NM"", ""9_CM""",""""&amp;VLOOKUP(M533,Alignements!$A$2:$B$10,2, FALSE)&amp;""""))))))</f>
        <v>"7_LM"</v>
      </c>
      <c r="O533" s="298"/>
      <c r="P533" t="str">
        <f t="shared" si="26"/>
        <v>"Momie": {
  "Name" : "Momie",
  "VO" : "Mummy",
  "Family" : "UNDEAD",
  "Species" : [""],
  "FP" : "3", 
  "Size" : "M",
  "AC" : 11,
  "HP" : 58, 
  "Speed" : "",
  "Alignments" : ["7_LM"],
  "Legendary" : ""}</v>
      </c>
    </row>
    <row r="534" spans="1:16">
      <c r="A534" s="61" t="s">
        <v>5106</v>
      </c>
      <c r="B534" s="297" t="s">
        <v>5106</v>
      </c>
      <c r="C534" s="305" t="s">
        <v>5619</v>
      </c>
      <c r="D534" s="297" t="s">
        <v>4181</v>
      </c>
      <c r="E534" s="297" t="str">
        <f t="shared" si="24"/>
        <v>Créature artificielle</v>
      </c>
      <c r="F534" s="297" t="str">
        <f>VLOOKUP(E534,'Types de monstres'!$A$2:$B$17,2,FALSE)</f>
        <v>ARTIFICIAL_CREATURE</v>
      </c>
      <c r="G534" s="297" t="str">
        <f t="shared" si="25"/>
        <v/>
      </c>
      <c r="H534" s="297" t="str">
        <f>IF(OR(G534="",G534="toute race"),"",VLOOKUP(G534,'Types de monstres'!$F$2:$G$49,2,FALSE))</f>
        <v/>
      </c>
      <c r="I534" s="297" t="s">
        <v>4091</v>
      </c>
      <c r="J534" s="302">
        <v>15</v>
      </c>
      <c r="K534" s="302">
        <v>5</v>
      </c>
      <c r="L534" s="297" t="s">
        <v>4092</v>
      </c>
      <c r="M534" s="297" t="s">
        <v>4145</v>
      </c>
      <c r="N534" s="297" t="str">
        <f>IF(M534="sans alignement","",IF(M534="tout alignement", """1_LB"", ""2_NB"", ""3_CB"", ""4_LN"", ""5_NN"", ""6_CN"", ""7_LM"", ""8_NM"", ""9_CM""",IF(M534="tout alignement non bon", """4_LN"", ""5_NN"", ""6_CN"", ""7_LM"", ""8_NM"", ""9_CM""",IF(M534="tout alignement mauvais", """7_LM"", ""8_NM"", ""9_CM""",IF(M534="tout alignement chaotique", """3_CB"", ""6_CN"", ""9_CM""",IF(M534="tout alignement non loyal", """2_NB"", ""3_CB"", ""5_NN"", ""6_CN"", ""8_NM"", ""9_CM""",""""&amp;VLOOKUP(M534,Alignements!$A$2:$B$10,2, FALSE)&amp;""""))))))</f>
        <v>"4_LN"</v>
      </c>
      <c r="O534" s="297"/>
      <c r="P534" t="str">
        <f t="shared" si="26"/>
        <v>"Monodrone": {
  "Name" : "Monodrone",
  "VO" : "Monodrone",
  "Family" : "ARTIFICIAL_CREATURE",
  "Species" : [""],
  "FP" : "1/8", 
  "Size" : "M",
  "AC" : 15,
  "HP" : 5, 
  "Speed" : "vol",
  "Alignments" : ["4_LN"],
  "Legendary" : ""}</v>
      </c>
    </row>
    <row r="535" spans="1:16">
      <c r="A535" s="299" t="s">
        <v>5107</v>
      </c>
      <c r="B535" s="298" t="s">
        <v>5108</v>
      </c>
      <c r="C535" s="306" t="s">
        <v>5620</v>
      </c>
      <c r="D535" s="298" t="s">
        <v>4253</v>
      </c>
      <c r="E535" s="297" t="str">
        <f t="shared" si="24"/>
        <v>Fée</v>
      </c>
      <c r="F535" s="297" t="str">
        <f>VLOOKUP(E535,'Types de monstres'!$A$2:$B$17,2,FALSE)</f>
        <v>FAIRY</v>
      </c>
      <c r="G535" s="297" t="str">
        <f t="shared" si="25"/>
        <v/>
      </c>
      <c r="H535" s="297" t="str">
        <f>IF(OR(G535="",G535="toute race"),"",VLOOKUP(G535,'Types de monstres'!$F$2:$G$49,2,FALSE))</f>
        <v/>
      </c>
      <c r="I535" s="298" t="s">
        <v>4112</v>
      </c>
      <c r="J535" s="300">
        <v>13</v>
      </c>
      <c r="K535" s="300">
        <v>22</v>
      </c>
      <c r="L535" s="298"/>
      <c r="M535" s="298" t="s">
        <v>4193</v>
      </c>
      <c r="N535" s="297" t="str">
        <f>IF(M535="sans alignement","",IF(M535="tout alignement", """1_LB"", ""2_NB"", ""3_CB"", ""4_LN"", ""5_NN"", ""6_CN"", ""7_LM"", ""8_NM"", ""9_CM""",IF(M535="tout alignement non bon", """4_LN"", ""5_NN"", ""6_CN"", ""7_LM"", ""8_NM"", ""9_CM""",IF(M535="tout alignement mauvais", """7_LM"", ""8_NM"", ""9_CM""",IF(M535="tout alignement chaotique", """3_CB"", ""6_CN"", ""9_CM""",IF(M535="tout alignement non loyal", """2_NB"", ""3_CB"", ""5_NN"", ""6_CN"", ""8_NM"", ""9_CM""",""""&amp;VLOOKUP(M535,Alignements!$A$2:$B$10,2, FALSE)&amp;""""))))))</f>
        <v>"5_NN"</v>
      </c>
      <c r="O535" s="298"/>
      <c r="P535" t="str">
        <f t="shared" si="26"/>
        <v>"Monture du Valénar": {
  "Name" : "Monture du Valénar",
  "VO" : "Valenar Steed",
  "Family" : "FAIRY",
  "Species" : [""],
  "FP" : "1/2", 
  "Size" : "G",
  "AC" : 13,
  "HP" : 22, 
  "Speed" : "",
  "Alignments" : ["5_NN"],
  "Legendary" : ""}</v>
      </c>
    </row>
    <row r="536" spans="1:16">
      <c r="A536" s="301" t="s">
        <v>5109</v>
      </c>
      <c r="B536" s="297" t="s">
        <v>5109</v>
      </c>
      <c r="C536" s="305">
        <v>15</v>
      </c>
      <c r="D536" s="297" t="s">
        <v>2914</v>
      </c>
      <c r="E536" s="297" t="str">
        <f t="shared" si="24"/>
        <v>Fiélon</v>
      </c>
      <c r="F536" s="297" t="str">
        <f>VLOOKUP(E536,'Types de monstres'!$A$2:$B$17,2,FALSE)</f>
        <v>FIEND</v>
      </c>
      <c r="G536" s="297" t="str">
        <f t="shared" si="25"/>
        <v/>
      </c>
      <c r="H536" s="297" t="str">
        <f>IF(OR(G536="",G536="toute race"),"",VLOOKUP(G536,'Types de monstres'!$F$2:$G$49,2,FALSE))</f>
        <v/>
      </c>
      <c r="I536" s="297" t="s">
        <v>4091</v>
      </c>
      <c r="J536" s="302">
        <v>18</v>
      </c>
      <c r="K536" s="302">
        <v>170</v>
      </c>
      <c r="L536" s="297"/>
      <c r="M536" s="297" t="s">
        <v>4097</v>
      </c>
      <c r="N536" s="297" t="str">
        <f>IF(M536="sans alignement","",IF(M536="tout alignement", """1_LB"", ""2_NB"", ""3_CB"", ""4_LN"", ""5_NN"", ""6_CN"", ""7_LM"", ""8_NM"", ""9_CM""",IF(M536="tout alignement non bon", """4_LN"", ""5_NN"", ""6_CN"", ""7_LM"", ""8_NM"", ""9_CM""",IF(M536="tout alignement mauvais", """7_LM"", ""8_NM"", ""9_CM""",IF(M536="tout alignement chaotique", """3_CB"", ""6_CN"", ""9_CM""",IF(M536="tout alignement non loyal", """2_NB"", ""3_CB"", ""5_NN"", ""6_CN"", ""8_NM"", ""9_CM""",""""&amp;VLOOKUP(M536,Alignements!$A$2:$B$10,2, FALSE)&amp;""""))))))</f>
        <v>"7_LM"</v>
      </c>
      <c r="O536" s="297"/>
      <c r="P536" t="str">
        <f t="shared" si="26"/>
        <v>"Mordakhesh": {
  "Name" : "Mordakhesh",
  "VO" : "Mordakhesh",
  "Family" : "FIEND",
  "Species" : [""],
  "FP" : "15", 
  "Size" : "M",
  "AC" : 18,
  "HP" : 170, 
  "Speed" : "",
  "Alignments" : ["7_LM"],
  "Legendary" : ""}</v>
      </c>
    </row>
    <row r="537" spans="1:16">
      <c r="A537" s="299" t="s">
        <v>5110</v>
      </c>
      <c r="B537" s="298" t="s">
        <v>5110</v>
      </c>
      <c r="C537" s="306">
        <v>11</v>
      </c>
      <c r="D537" s="298" t="s">
        <v>4111</v>
      </c>
      <c r="E537" s="297" t="str">
        <f t="shared" si="24"/>
        <v>Aberration</v>
      </c>
      <c r="F537" s="297" t="str">
        <f>VLOOKUP(E537,'Types de monstres'!$A$2:$B$17,2,FALSE)</f>
        <v>ABERRATION</v>
      </c>
      <c r="G537" s="297" t="str">
        <f t="shared" si="25"/>
        <v/>
      </c>
      <c r="H537" s="297" t="str">
        <f>IF(OR(G537="",G537="toute race"),"",VLOOKUP(G537,'Types de monstres'!$F$2:$G$49,2,FALSE))</f>
        <v/>
      </c>
      <c r="I537" s="298" t="s">
        <v>4091</v>
      </c>
      <c r="J537" s="300">
        <v>17</v>
      </c>
      <c r="K537" s="300">
        <v>130</v>
      </c>
      <c r="L537" s="298" t="s">
        <v>4113</v>
      </c>
      <c r="M537" s="298" t="s">
        <v>4137</v>
      </c>
      <c r="N537" s="297" t="str">
        <f>IF(M537="sans alignement","",IF(M537="tout alignement", """1_LB"", ""2_NB"", ""3_CB"", ""4_LN"", ""5_NN"", ""6_CN"", ""7_LM"", ""8_NM"", ""9_CM""",IF(M537="tout alignement non bon", """4_LN"", ""5_NN"", ""6_CN"", ""7_LM"", ""8_NM"", ""9_CM""",IF(M537="tout alignement mauvais", """7_LM"", ""8_NM"", ""9_CM""",IF(M537="tout alignement chaotique", """3_CB"", ""6_CN"", ""9_CM""",IF(M537="tout alignement non loyal", """2_NB"", ""3_CB"", ""5_NN"", ""6_CN"", ""8_NM"", ""9_CM""",""""&amp;VLOOKUP(M537,Alignements!$A$2:$B$10,2, FALSE)&amp;""""))))))</f>
        <v>"9_CM"</v>
      </c>
      <c r="O537" s="298"/>
      <c r="P537" t="str">
        <f t="shared" si="26"/>
        <v>"Morkoth": {
  "Name" : "Morkoth",
  "VO" : "Morkoth",
  "Family" : "ABERRATION",
  "Species" : [""],
  "FP" : "11", 
  "Size" : "M",
  "AC" : 17,
  "HP" : 130, 
  "Speed" : "nage",
  "Alignments" : ["9_CM"],
  "Legendary" : ""}</v>
      </c>
    </row>
    <row r="538" spans="1:16">
      <c r="A538" s="61" t="s">
        <v>5111</v>
      </c>
      <c r="B538" s="297" t="s">
        <v>5111</v>
      </c>
      <c r="C538" s="305" t="s">
        <v>5619</v>
      </c>
      <c r="D538" s="297" t="s">
        <v>4128</v>
      </c>
      <c r="E538" s="297" t="str">
        <f t="shared" si="24"/>
        <v>Bête</v>
      </c>
      <c r="F538" s="297" t="str">
        <f>VLOOKUP(E538,'Types de monstres'!$A$2:$B$17,2,FALSE)</f>
        <v>BEAST</v>
      </c>
      <c r="G538" s="297" t="str">
        <f t="shared" si="25"/>
        <v/>
      </c>
      <c r="H538" s="297" t="str">
        <f>IF(OR(G538="",G538="toute race"),"",VLOOKUP(G538,'Types de monstres'!$F$2:$G$49,2,FALSE))</f>
        <v/>
      </c>
      <c r="I538" s="297" t="s">
        <v>4091</v>
      </c>
      <c r="J538" s="302">
        <v>10</v>
      </c>
      <c r="K538" s="302">
        <v>11</v>
      </c>
      <c r="L538" s="297"/>
      <c r="M538" s="297" t="s">
        <v>4130</v>
      </c>
      <c r="N538" s="297" t="str">
        <f>IF(M538="sans alignement","",IF(M538="tout alignement", """1_LB"", ""2_NB"", ""3_CB"", ""4_LN"", ""5_NN"", ""6_CN"", ""7_LM"", ""8_NM"", ""9_CM""",IF(M538="tout alignement non bon", """4_LN"", ""5_NN"", ""6_CN"", ""7_LM"", ""8_NM"", ""9_CM""",IF(M538="tout alignement mauvais", """7_LM"", ""8_NM"", ""9_CM""",IF(M538="tout alignement chaotique", """3_CB"", ""6_CN"", ""9_CM""",IF(M538="tout alignement non loyal", """2_NB"", ""3_CB"", ""5_NN"", ""6_CN"", ""8_NM"", ""9_CM""",""""&amp;VLOOKUP(M538,Alignements!$A$2:$B$10,2, FALSE)&amp;""""))))))</f>
        <v/>
      </c>
      <c r="O538" s="297"/>
      <c r="P538" t="str">
        <f t="shared" si="26"/>
        <v>"Mule": {
  "Name" : "Mule",
  "VO" : "Mule",
  "Family" : "BEAST",
  "Species" : [""],
  "FP" : "1/8", 
  "Size" : "M",
  "AC" : 10,
  "HP" : 11, 
  "Speed" : "",
  "Alignments" : [],
  "Legendary" : ""}</v>
      </c>
    </row>
    <row r="539" spans="1:16">
      <c r="A539" s="61" t="s">
        <v>5112</v>
      </c>
      <c r="B539" s="298" t="s">
        <v>5113</v>
      </c>
      <c r="C539" s="306" t="s">
        <v>5620</v>
      </c>
      <c r="D539" s="298" t="s">
        <v>4167</v>
      </c>
      <c r="E539" s="297" t="str">
        <f t="shared" si="24"/>
        <v>Plante</v>
      </c>
      <c r="F539" s="297" t="str">
        <f>VLOOKUP(E539,'Types de monstres'!$A$2:$B$17,2,FALSE)</f>
        <v>PLANT</v>
      </c>
      <c r="G539" s="297" t="str">
        <f t="shared" si="25"/>
        <v/>
      </c>
      <c r="H539" s="297" t="str">
        <f>IF(OR(G539="",G539="toute race"),"",VLOOKUP(G539,'Types de monstres'!$F$2:$G$49,2,FALSE))</f>
        <v/>
      </c>
      <c r="I539" s="298" t="s">
        <v>4091</v>
      </c>
      <c r="J539" s="300">
        <v>12</v>
      </c>
      <c r="K539" s="300">
        <v>22</v>
      </c>
      <c r="L539" s="298"/>
      <c r="M539" s="298" t="s">
        <v>4145</v>
      </c>
      <c r="N539" s="297" t="str">
        <f>IF(M539="sans alignement","",IF(M539="tout alignement", """1_LB"", ""2_NB"", ""3_CB"", ""4_LN"", ""5_NN"", ""6_CN"", ""7_LM"", ""8_NM"", ""9_CM""",IF(M539="tout alignement non bon", """4_LN"", ""5_NN"", ""6_CN"", ""7_LM"", ""8_NM"", ""9_CM""",IF(M539="tout alignement mauvais", """7_LM"", ""8_NM"", ""9_CM""",IF(M539="tout alignement chaotique", """3_CB"", ""6_CN"", ""9_CM""",IF(M539="tout alignement non loyal", """2_NB"", ""3_CB"", ""5_NN"", ""6_CN"", ""8_NM"", ""9_CM""",""""&amp;VLOOKUP(M539,Alignements!$A$2:$B$10,2, FALSE)&amp;""""))))))</f>
        <v>"4_LN"</v>
      </c>
      <c r="O539" s="298"/>
      <c r="P539" t="str">
        <f t="shared" si="26"/>
        <v>"Myconide, adulte": {
  "Name" : "Myconide, adulte",
  "VO" : "Myconid adult",
  "Family" : "PLANT",
  "Species" : [""],
  "FP" : "1/2", 
  "Size" : "M",
  "AC" : 12,
  "HP" : 22, 
  "Speed" : "",
  "Alignments" : ["4_LN"],
  "Legendary" : ""}</v>
      </c>
    </row>
    <row r="540" spans="1:16">
      <c r="A540" s="61" t="s">
        <v>5114</v>
      </c>
      <c r="B540" s="297" t="s">
        <v>5115</v>
      </c>
      <c r="C540" s="305">
        <v>0</v>
      </c>
      <c r="D540" s="297" t="s">
        <v>4167</v>
      </c>
      <c r="E540" s="297" t="str">
        <f t="shared" si="24"/>
        <v>Plante</v>
      </c>
      <c r="F540" s="297" t="str">
        <f>VLOOKUP(E540,'Types de monstres'!$A$2:$B$17,2,FALSE)</f>
        <v>PLANT</v>
      </c>
      <c r="G540" s="297" t="str">
        <f t="shared" si="25"/>
        <v/>
      </c>
      <c r="H540" s="297" t="str">
        <f>IF(OR(G540="",G540="toute race"),"",VLOOKUP(G540,'Types de monstres'!$F$2:$G$49,2,FALSE))</f>
        <v/>
      </c>
      <c r="I540" s="297" t="s">
        <v>4129</v>
      </c>
      <c r="J540" s="302">
        <v>10</v>
      </c>
      <c r="K540" s="302">
        <v>7</v>
      </c>
      <c r="L540" s="297"/>
      <c r="M540" s="297" t="s">
        <v>4145</v>
      </c>
      <c r="N540" s="297" t="str">
        <f>IF(M540="sans alignement","",IF(M540="tout alignement", """1_LB"", ""2_NB"", ""3_CB"", ""4_LN"", ""5_NN"", ""6_CN"", ""7_LM"", ""8_NM"", ""9_CM""",IF(M540="tout alignement non bon", """4_LN"", ""5_NN"", ""6_CN"", ""7_LM"", ""8_NM"", ""9_CM""",IF(M540="tout alignement mauvais", """7_LM"", ""8_NM"", ""9_CM""",IF(M540="tout alignement chaotique", """3_CB"", ""6_CN"", ""9_CM""",IF(M540="tout alignement non loyal", """2_NB"", ""3_CB"", ""5_NN"", ""6_CN"", ""8_NM"", ""9_CM""",""""&amp;VLOOKUP(M540,Alignements!$A$2:$B$10,2, FALSE)&amp;""""))))))</f>
        <v>"4_LN"</v>
      </c>
      <c r="O540" s="297"/>
      <c r="P540" t="str">
        <f t="shared" si="26"/>
        <v>"Myconide, jeune pousse": {
  "Name" : "Myconide, jeune pousse",
  "VO" : "Myconid sprout",
  "Family" : "PLANT",
  "Species" : [""],
  "FP" : "0", 
  "Size" : "P",
  "AC" : 10,
  "HP" : 7, 
  "Speed" : "",
  "Alignments" : ["4_LN"],
  "Legendary" : ""}</v>
      </c>
    </row>
    <row r="541" spans="1:16">
      <c r="A541" s="61" t="s">
        <v>5116</v>
      </c>
      <c r="B541" s="298" t="s">
        <v>5117</v>
      </c>
      <c r="C541" s="306">
        <v>2</v>
      </c>
      <c r="D541" s="298" t="s">
        <v>4167</v>
      </c>
      <c r="E541" s="297" t="str">
        <f t="shared" si="24"/>
        <v>Plante</v>
      </c>
      <c r="F541" s="297" t="str">
        <f>VLOOKUP(E541,'Types de monstres'!$A$2:$B$17,2,FALSE)</f>
        <v>PLANT</v>
      </c>
      <c r="G541" s="297" t="str">
        <f t="shared" si="25"/>
        <v/>
      </c>
      <c r="H541" s="297" t="str">
        <f>IF(OR(G541="",G541="toute race"),"",VLOOKUP(G541,'Types de monstres'!$F$2:$G$49,2,FALSE))</f>
        <v/>
      </c>
      <c r="I541" s="298" t="s">
        <v>4112</v>
      </c>
      <c r="J541" s="300">
        <v>13</v>
      </c>
      <c r="K541" s="300">
        <v>60</v>
      </c>
      <c r="L541" s="298"/>
      <c r="M541" s="298" t="s">
        <v>4145</v>
      </c>
      <c r="N541" s="297" t="str">
        <f>IF(M541="sans alignement","",IF(M541="tout alignement", """1_LB"", ""2_NB"", ""3_CB"", ""4_LN"", ""5_NN"", ""6_CN"", ""7_LM"", ""8_NM"", ""9_CM""",IF(M541="tout alignement non bon", """4_LN"", ""5_NN"", ""6_CN"", ""7_LM"", ""8_NM"", ""9_CM""",IF(M541="tout alignement mauvais", """7_LM"", ""8_NM"", ""9_CM""",IF(M541="tout alignement chaotique", """3_CB"", ""6_CN"", ""9_CM""",IF(M541="tout alignement non loyal", """2_NB"", ""3_CB"", ""5_NN"", ""6_CN"", ""8_NM"", ""9_CM""",""""&amp;VLOOKUP(M541,Alignements!$A$2:$B$10,2, FALSE)&amp;""""))))))</f>
        <v>"4_LN"</v>
      </c>
      <c r="O541" s="298"/>
      <c r="P541" t="str">
        <f t="shared" si="26"/>
        <v>"Myconide, souverain": {
  "Name" : "Myconide, souverain",
  "VO" : "Myconid Sovereign",
  "Family" : "PLANT",
  "Species" : [""],
  "FP" : "2", 
  "Size" : "G",
  "AC" : 13,
  "HP" : 60, 
  "Speed" : "",
  "Alignments" : ["4_LN"],
  "Legendary" : ""}</v>
      </c>
    </row>
    <row r="542" spans="1:16">
      <c r="A542" s="301" t="s">
        <v>5118</v>
      </c>
      <c r="B542" s="297" t="s">
        <v>5118</v>
      </c>
      <c r="C542" s="305">
        <v>15</v>
      </c>
      <c r="D542" s="297" t="s">
        <v>4136</v>
      </c>
      <c r="E542" s="297" t="str">
        <f t="shared" si="24"/>
        <v>Fiélon</v>
      </c>
      <c r="F542" s="297" t="str">
        <f>VLOOKUP(E542,'Types de monstres'!$A$2:$B$17,2,FALSE)</f>
        <v>FIEND</v>
      </c>
      <c r="G542" s="297" t="str">
        <f t="shared" si="25"/>
        <v>démon</v>
      </c>
      <c r="H542" s="297" t="str">
        <f>IF(OR(G542="",G542="toute race"),"",VLOOKUP(G542,'Types de monstres'!$F$2:$G$49,2,FALSE))</f>
        <v>DAEMON</v>
      </c>
      <c r="I542" s="297" t="s">
        <v>4091</v>
      </c>
      <c r="J542" s="302">
        <v>18</v>
      </c>
      <c r="K542" s="302">
        <v>190</v>
      </c>
      <c r="L542" s="297" t="s">
        <v>4092</v>
      </c>
      <c r="M542" s="297" t="s">
        <v>4137</v>
      </c>
      <c r="N542" s="297" t="str">
        <f>IF(M542="sans alignement","",IF(M542="tout alignement", """1_LB"", ""2_NB"", ""3_CB"", ""4_LN"", ""5_NN"", ""6_CN"", ""7_LM"", ""8_NM"", ""9_CM""",IF(M542="tout alignement non bon", """4_LN"", ""5_NN"", ""6_CN"", ""7_LM"", ""8_NM"", ""9_CM""",IF(M542="tout alignement mauvais", """7_LM"", ""8_NM"", ""9_CM""",IF(M542="tout alignement chaotique", """3_CB"", ""6_CN"", ""9_CM""",IF(M542="tout alignement non loyal", """2_NB"", ""3_CB"", ""5_NN"", ""6_CN"", ""8_NM"", ""9_CM""",""""&amp;VLOOKUP(M542,Alignements!$A$2:$B$10,2, FALSE)&amp;""""))))))</f>
        <v>"9_CM"</v>
      </c>
      <c r="O542" s="297"/>
      <c r="P542" t="str">
        <f t="shared" si="26"/>
        <v>"Nabassu": {
  "Name" : "Nabassu",
  "VO" : "Nabassu",
  "Family" : "FIEND",
  "Species" : ["DAEMON"],
  "FP" : "15", 
  "Size" : "M",
  "AC" : 18,
  "HP" : 190, 
  "Speed" : "vol",
  "Alignments" : ["9_CM"],
  "Legendary" : ""}</v>
      </c>
    </row>
    <row r="543" spans="1:16">
      <c r="A543" s="61" t="s">
        <v>5119</v>
      </c>
      <c r="B543" s="298" t="s">
        <v>5120</v>
      </c>
      <c r="C543" s="306">
        <v>8</v>
      </c>
      <c r="D543" s="298" t="s">
        <v>4121</v>
      </c>
      <c r="E543" s="297" t="str">
        <f t="shared" si="24"/>
        <v>Créature monstrueuse</v>
      </c>
      <c r="F543" s="297" t="str">
        <f>VLOOKUP(E543,'Types de monstres'!$A$2:$B$17,2,FALSE)</f>
        <v>MONSTROUS_CREATURE</v>
      </c>
      <c r="G543" s="297" t="str">
        <f t="shared" si="25"/>
        <v/>
      </c>
      <c r="H543" s="297" t="str">
        <f>IF(OR(G543="",G543="toute race"),"",VLOOKUP(G543,'Types de monstres'!$F$2:$G$49,2,FALSE))</f>
        <v/>
      </c>
      <c r="I543" s="298" t="s">
        <v>4112</v>
      </c>
      <c r="J543" s="300">
        <v>15</v>
      </c>
      <c r="K543" s="300">
        <v>75</v>
      </c>
      <c r="L543" s="298"/>
      <c r="M543" s="298" t="s">
        <v>4137</v>
      </c>
      <c r="N543" s="297" t="str">
        <f>IF(M543="sans alignement","",IF(M543="tout alignement", """1_LB"", ""2_NB"", ""3_CB"", ""4_LN"", ""5_NN"", ""6_CN"", ""7_LM"", ""8_NM"", ""9_CM""",IF(M543="tout alignement non bon", """4_LN"", ""5_NN"", ""6_CN"", ""7_LM"", ""8_NM"", ""9_CM""",IF(M543="tout alignement mauvais", """7_LM"", ""8_NM"", ""9_CM""",IF(M543="tout alignement chaotique", """3_CB"", ""6_CN"", ""9_CM""",IF(M543="tout alignement non loyal", """2_NB"", ""3_CB"", ""5_NN"", ""6_CN"", ""8_NM"", ""9_CM""",""""&amp;VLOOKUP(M543,Alignements!$A$2:$B$10,2, FALSE)&amp;""""))))))</f>
        <v>"9_CM"</v>
      </c>
      <c r="O543" s="298"/>
      <c r="P543" t="str">
        <f t="shared" si="26"/>
        <v>"Naga corrupteur": {
  "Name" : "Naga corrupteur",
  "VO" : "Spirit Naga",
  "Family" : "MONSTROUS_CREATURE",
  "Species" : [""],
  "FP" : "8", 
  "Size" : "G",
  "AC" : 15,
  "HP" : 75, 
  "Speed" : "",
  "Alignments" : ["9_CM"],
  "Legendary" : ""}</v>
      </c>
    </row>
    <row r="544" spans="1:16">
      <c r="A544" s="61" t="s">
        <v>5121</v>
      </c>
      <c r="B544" s="297" t="s">
        <v>5122</v>
      </c>
      <c r="C544" s="305">
        <v>10</v>
      </c>
      <c r="D544" s="297" t="s">
        <v>4121</v>
      </c>
      <c r="E544" s="297" t="str">
        <f t="shared" si="24"/>
        <v>Créature monstrueuse</v>
      </c>
      <c r="F544" s="297" t="str">
        <f>VLOOKUP(E544,'Types de monstres'!$A$2:$B$17,2,FALSE)</f>
        <v>MONSTROUS_CREATURE</v>
      </c>
      <c r="G544" s="297" t="str">
        <f t="shared" si="25"/>
        <v/>
      </c>
      <c r="H544" s="297" t="str">
        <f>IF(OR(G544="",G544="toute race"),"",VLOOKUP(G544,'Types de monstres'!$F$2:$G$49,2,FALSE))</f>
        <v/>
      </c>
      <c r="I544" s="297" t="s">
        <v>4112</v>
      </c>
      <c r="J544" s="302">
        <v>18</v>
      </c>
      <c r="K544" s="302">
        <v>127</v>
      </c>
      <c r="L544" s="297"/>
      <c r="M544" s="297" t="s">
        <v>4318</v>
      </c>
      <c r="N544" s="297" t="str">
        <f>IF(M544="sans alignement","",IF(M544="tout alignement", """1_LB"", ""2_NB"", ""3_CB"", ""4_LN"", ""5_NN"", ""6_CN"", ""7_LM"", ""8_NM"", ""9_CM""",IF(M544="tout alignement non bon", """4_LN"", ""5_NN"", ""6_CN"", ""7_LM"", ""8_NM"", ""9_CM""",IF(M544="tout alignement mauvais", """7_LM"", ""8_NM"", ""9_CM""",IF(M544="tout alignement chaotique", """3_CB"", ""6_CN"", ""9_CM""",IF(M544="tout alignement non loyal", """2_NB"", ""3_CB"", ""5_NN"", ""6_CN"", ""8_NM"", ""9_CM""",""""&amp;VLOOKUP(M544,Alignements!$A$2:$B$10,2, FALSE)&amp;""""))))))</f>
        <v>"1_LB"</v>
      </c>
      <c r="O544" s="297"/>
      <c r="P544" t="str">
        <f t="shared" si="26"/>
        <v>"Naga gardien": {
  "Name" : "Naga gardien",
  "VO" : "Guardian Naga",
  "Family" : "MONSTROUS_CREATURE",
  "Species" : [""],
  "FP" : "10", 
  "Size" : "G",
  "AC" : 18,
  "HP" : 127, 
  "Speed" : "",
  "Alignments" : ["1_LB"],
  "Legendary" : ""}</v>
      </c>
    </row>
    <row r="545" spans="1:16">
      <c r="A545" s="61" t="s">
        <v>5123</v>
      </c>
      <c r="B545" s="298" t="s">
        <v>5124</v>
      </c>
      <c r="C545" s="306">
        <v>4</v>
      </c>
      <c r="D545" s="298" t="s">
        <v>4117</v>
      </c>
      <c r="E545" s="297" t="str">
        <f t="shared" si="24"/>
        <v>Mort-vivant</v>
      </c>
      <c r="F545" s="297" t="str">
        <f>VLOOKUP(E545,'Types de monstres'!$A$2:$B$17,2,FALSE)</f>
        <v>UNDEAD</v>
      </c>
      <c r="G545" s="297" t="str">
        <f t="shared" si="25"/>
        <v/>
      </c>
      <c r="H545" s="297" t="str">
        <f>IF(OR(G545="",G545="toute race"),"",VLOOKUP(G545,'Types de monstres'!$F$2:$G$49,2,FALSE))</f>
        <v/>
      </c>
      <c r="I545" s="298" t="s">
        <v>4112</v>
      </c>
      <c r="J545" s="300">
        <v>15</v>
      </c>
      <c r="K545" s="300">
        <v>58</v>
      </c>
      <c r="L545" s="298"/>
      <c r="M545" s="298" t="s">
        <v>4097</v>
      </c>
      <c r="N545" s="297" t="str">
        <f>IF(M545="sans alignement","",IF(M545="tout alignement", """1_LB"", ""2_NB"", ""3_CB"", ""4_LN"", ""5_NN"", ""6_CN"", ""7_LM"", ""8_NM"", ""9_CM""",IF(M545="tout alignement non bon", """4_LN"", ""5_NN"", ""6_CN"", ""7_LM"", ""8_NM"", ""9_CM""",IF(M545="tout alignement mauvais", """7_LM"", ""8_NM"", ""9_CM""",IF(M545="tout alignement chaotique", """3_CB"", ""6_CN"", ""9_CM""",IF(M545="tout alignement non loyal", """2_NB"", ""3_CB"", ""5_NN"", ""6_CN"", ""8_NM"", ""9_CM""",""""&amp;VLOOKUP(M545,Alignements!$A$2:$B$10,2, FALSE)&amp;""""))))))</f>
        <v>"7_LM"</v>
      </c>
      <c r="O545" s="298"/>
      <c r="P545" t="str">
        <f t="shared" si="26"/>
        <v>"Naga osseux": {
  "Name" : "Naga osseux",
  "VO" : "Bone Naga",
  "Family" : "UNDEAD",
  "Species" : [""],
  "FP" : "4", 
  "Size" : "G",
  "AC" : 15,
  "HP" : 58, 
  "Speed" : "",
  "Alignments" : ["7_LM"],
  "Legendary" : ""}</v>
      </c>
    </row>
    <row r="546" spans="1:16">
      <c r="A546" s="301" t="s">
        <v>5125</v>
      </c>
      <c r="B546" s="297" t="s">
        <v>5125</v>
      </c>
      <c r="C546" s="305">
        <v>17</v>
      </c>
      <c r="D546" s="297" t="s">
        <v>5126</v>
      </c>
      <c r="E546" s="297" t="str">
        <f t="shared" si="24"/>
        <v>Humanoïde</v>
      </c>
      <c r="F546" s="297" t="str">
        <f>VLOOKUP(E546,'Types de monstres'!$A$2:$B$17,2,FALSE)</f>
        <v>HUMANOID</v>
      </c>
      <c r="G546" s="297" t="str">
        <f t="shared" si="25"/>
        <v>nagpa</v>
      </c>
      <c r="H546" s="297" t="str">
        <f>IF(OR(G546="",G546="toute race"),"",VLOOKUP(G546,'Types de monstres'!$F$2:$G$49,2,FALSE))</f>
        <v>NAGPA</v>
      </c>
      <c r="I546" s="297" t="s">
        <v>4091</v>
      </c>
      <c r="J546" s="302">
        <v>19</v>
      </c>
      <c r="K546" s="302">
        <v>187</v>
      </c>
      <c r="L546" s="297"/>
      <c r="M546" s="297" t="s">
        <v>4118</v>
      </c>
      <c r="N546" s="297" t="str">
        <f>IF(M546="sans alignement","",IF(M546="tout alignement", """1_LB"", ""2_NB"", ""3_CB"", ""4_LN"", ""5_NN"", ""6_CN"", ""7_LM"", ""8_NM"", ""9_CM""",IF(M546="tout alignement non bon", """4_LN"", ""5_NN"", ""6_CN"", ""7_LM"", ""8_NM"", ""9_CM""",IF(M546="tout alignement mauvais", """7_LM"", ""8_NM"", ""9_CM""",IF(M546="tout alignement chaotique", """3_CB"", ""6_CN"", ""9_CM""",IF(M546="tout alignement non loyal", """2_NB"", ""3_CB"", ""5_NN"", ""6_CN"", ""8_NM"", ""9_CM""",""""&amp;VLOOKUP(M546,Alignements!$A$2:$B$10,2, FALSE)&amp;""""))))))</f>
        <v>"8_NM"</v>
      </c>
      <c r="O546" s="297"/>
      <c r="P546" t="str">
        <f t="shared" si="26"/>
        <v>"Nagpa": {
  "Name" : "Nagpa",
  "VO" : "Nagpa",
  "Family" : "HUMANOID",
  "Species" : ["NAGPA"],
  "FP" : "17", 
  "Size" : "M",
  "AC" : 19,
  "HP" : 187, 
  "Speed" : "",
  "Alignments" : ["8_NM"],
  "Legendary" : ""}</v>
      </c>
    </row>
    <row r="547" spans="1:16">
      <c r="A547" s="61" t="s">
        <v>5127</v>
      </c>
      <c r="B547" s="298" t="s">
        <v>5128</v>
      </c>
      <c r="C547" s="306">
        <v>13</v>
      </c>
      <c r="D547" s="298" t="s">
        <v>4136</v>
      </c>
      <c r="E547" s="297" t="str">
        <f t="shared" si="24"/>
        <v>Fiélon</v>
      </c>
      <c r="F547" s="297" t="str">
        <f>VLOOKUP(E547,'Types de monstres'!$A$2:$B$17,2,FALSE)</f>
        <v>FIEND</v>
      </c>
      <c r="G547" s="297" t="str">
        <f t="shared" si="25"/>
        <v>démon</v>
      </c>
      <c r="H547" s="297" t="str">
        <f>IF(OR(G547="",G547="toute race"),"",VLOOKUP(G547,'Types de monstres'!$F$2:$G$49,2,FALSE))</f>
        <v>DAEMON</v>
      </c>
      <c r="I547" s="298" t="s">
        <v>4112</v>
      </c>
      <c r="J547" s="300">
        <v>18</v>
      </c>
      <c r="K547" s="300">
        <v>184</v>
      </c>
      <c r="L547" s="298" t="s">
        <v>4092</v>
      </c>
      <c r="M547" s="298" t="s">
        <v>4137</v>
      </c>
      <c r="N547" s="297" t="str">
        <f>IF(M547="sans alignement","",IF(M547="tout alignement", """1_LB"", ""2_NB"", ""3_CB"", ""4_LN"", ""5_NN"", ""6_CN"", ""7_LM"", ""8_NM"", ""9_CM""",IF(M547="tout alignement non bon", """4_LN"", ""5_NN"", ""6_CN"", ""7_LM"", ""8_NM"", ""9_CM""",IF(M547="tout alignement mauvais", """7_LM"", ""8_NM"", ""9_CM""",IF(M547="tout alignement chaotique", """3_CB"", ""6_CN"", ""9_CM""",IF(M547="tout alignement non loyal", """2_NB"", ""3_CB"", ""5_NN"", ""6_CN"", ""8_NM"", ""9_CM""",""""&amp;VLOOKUP(M547,Alignements!$A$2:$B$10,2, FALSE)&amp;""""))))))</f>
        <v>"9_CM"</v>
      </c>
      <c r="O547" s="298"/>
      <c r="P547" t="str">
        <f t="shared" si="26"/>
        <v>"Nalfeshnie": {
  "Name" : "Nalfeshnie",
  "VO" : "Nalfeshnee",
  "Family" : "FIEND",
  "Species" : ["DAEMON"],
  "FP" : "13", 
  "Size" : "G",
  "AC" : 18,
  "HP" : 184, 
  "Speed" : "vol",
  "Alignments" : ["9_CM"],
  "Legendary" : ""}</v>
      </c>
    </row>
    <row r="548" spans="1:16">
      <c r="A548" s="61" t="s">
        <v>5129</v>
      </c>
      <c r="B548" s="297" t="s">
        <v>5129</v>
      </c>
      <c r="C548" s="305">
        <v>13</v>
      </c>
      <c r="D548" s="297" t="s">
        <v>4096</v>
      </c>
      <c r="E548" s="297" t="str">
        <f t="shared" si="24"/>
        <v>Fiélon</v>
      </c>
      <c r="F548" s="297" t="str">
        <f>VLOOKUP(E548,'Types de monstres'!$A$2:$B$17,2,FALSE)</f>
        <v>FIEND</v>
      </c>
      <c r="G548" s="297" t="str">
        <f t="shared" si="25"/>
        <v>diable</v>
      </c>
      <c r="H548" s="297" t="str">
        <f>IF(OR(G548="",G548="toute race"),"",VLOOKUP(G548,'Types de monstres'!$F$2:$G$49,2,FALSE))</f>
        <v>DEVIL</v>
      </c>
      <c r="I548" s="297" t="s">
        <v>4091</v>
      </c>
      <c r="J548" s="302">
        <v>20</v>
      </c>
      <c r="K548" s="302">
        <v>112</v>
      </c>
      <c r="L548" s="297"/>
      <c r="M548" s="297" t="s">
        <v>4097</v>
      </c>
      <c r="N548" s="297" t="str">
        <f>IF(M548="sans alignement","",IF(M548="tout alignement", """1_LB"", ""2_NB"", ""3_CB"", ""4_LN"", ""5_NN"", ""6_CN"", ""7_LM"", ""8_NM"", ""9_CM""",IF(M548="tout alignement non bon", """4_LN"", ""5_NN"", ""6_CN"", ""7_LM"", ""8_NM"", ""9_CM""",IF(M548="tout alignement mauvais", """7_LM"", ""8_NM"", ""9_CM""",IF(M548="tout alignement chaotique", """3_CB"", ""6_CN"", ""9_CM""",IF(M548="tout alignement non loyal", """2_NB"", ""3_CB"", ""5_NN"", ""6_CN"", ""8_NM"", ""9_CM""",""""&amp;VLOOKUP(M548,Alignements!$A$2:$B$10,2, FALSE)&amp;""""))))))</f>
        <v>"7_LM"</v>
      </c>
      <c r="O548" s="297"/>
      <c r="P548" t="str">
        <f t="shared" si="26"/>
        <v>"Narzugon": {
  "Name" : "Narzugon",
  "VO" : "Narzugon",
  "Family" : "FIEND",
  "Species" : ["DEVIL"],
  "FP" : "13", 
  "Size" : "M",
  "AC" : 20,
  "HP" : 112, 
  "Speed" : "",
  "Alignments" : ["7_LM"],
  "Legendary" : ""}</v>
      </c>
    </row>
    <row r="549" spans="1:16">
      <c r="A549" s="61" t="s">
        <v>5130</v>
      </c>
      <c r="B549" s="298" t="s">
        <v>5131</v>
      </c>
      <c r="C549" s="306">
        <v>9</v>
      </c>
      <c r="D549" s="298" t="s">
        <v>4108</v>
      </c>
      <c r="E549" s="297" t="str">
        <f t="shared" si="24"/>
        <v>Humanoïde</v>
      </c>
      <c r="F549" s="297" t="str">
        <f>VLOOKUP(E549,'Types de monstres'!$A$2:$B$17,2,FALSE)</f>
        <v>HUMANOID</v>
      </c>
      <c r="G549" s="297" t="str">
        <f t="shared" si="25"/>
        <v>toute race</v>
      </c>
      <c r="H549" s="297" t="str">
        <f>IF(OR(G549="",G549="toute race"),"",VLOOKUP(G549,'Types de monstres'!$F$2:$G$49,2,FALSE))</f>
        <v/>
      </c>
      <c r="I549" s="298" t="s">
        <v>4091</v>
      </c>
      <c r="J549" s="300">
        <v>12</v>
      </c>
      <c r="K549" s="300">
        <v>66</v>
      </c>
      <c r="L549" s="298"/>
      <c r="M549" s="298" t="s">
        <v>4109</v>
      </c>
      <c r="N549" s="297" t="str">
        <f>IF(M549="sans alignement","",IF(M549="tout alignement", """1_LB"", ""2_NB"", ""3_CB"", ""4_LN"", ""5_NN"", ""6_CN"", ""7_LM"", ""8_NM"", ""9_CM""",IF(M549="tout alignement non bon", """4_LN"", ""5_NN"", ""6_CN"", ""7_LM"", ""8_NM"", ""9_CM""",IF(M549="tout alignement mauvais", """7_LM"", ""8_NM"", ""9_CM""",IF(M549="tout alignement chaotique", """3_CB"", ""6_CN"", ""9_CM""",IF(M549="tout alignement non loyal", """2_NB"", ""3_CB"", ""5_NN"", ""6_CN"", ""8_NM"", ""9_CM""",""""&amp;VLOOKUP(M549,Alignements!$A$2:$B$10,2, FALSE)&amp;""""))))))</f>
        <v>"1_LB", "2_NB", "3_CB", "4_LN", "5_NN", "6_CN", "7_LM", "8_NM", "9_CM"</v>
      </c>
      <c r="O549" s="298"/>
      <c r="P549" t="str">
        <f t="shared" si="26"/>
        <v>"Nécromant": {
  "Name" : "Nécromant",
  "VO" : "Necromancer",
  "Family" : "HUMANOID",
  "Species" : [""],
  "FP" : "9", 
  "Size" : "M",
  "AC" : 12,
  "HP" : 66, 
  "Speed" : "",
  "Alignments" : ["1_LB", "2_NB", "3_CB", "4_LN", "5_NN", "6_CN", "7_LM", "8_NM", "9_CM"],
  "Legendary" : ""}</v>
      </c>
    </row>
    <row r="550" spans="1:16" ht="21">
      <c r="A550" s="61" t="s">
        <v>5132</v>
      </c>
      <c r="B550" s="297" t="s">
        <v>5133</v>
      </c>
      <c r="C550" s="305" t="s">
        <v>5620</v>
      </c>
      <c r="D550" s="297" t="s">
        <v>4242</v>
      </c>
      <c r="E550" s="297" t="str">
        <f t="shared" si="24"/>
        <v>Humanoïde</v>
      </c>
      <c r="F550" s="297" t="str">
        <f>VLOOKUP(E550,'Types de monstres'!$A$2:$B$17,2,FALSE)</f>
        <v>HUMANOID</v>
      </c>
      <c r="G550" s="297" t="str">
        <f t="shared" si="25"/>
        <v>humain</v>
      </c>
      <c r="H550" s="297" t="str">
        <f>IF(OR(G550="",G550="toute race"),"",VLOOKUP(G550,'Types de monstres'!$F$2:$G$49,2,FALSE))</f>
        <v>HUMAN</v>
      </c>
      <c r="I550" s="297" t="s">
        <v>4091</v>
      </c>
      <c r="J550" s="302">
        <v>11</v>
      </c>
      <c r="K550" s="302">
        <v>13</v>
      </c>
      <c r="L550" s="297"/>
      <c r="M550" s="297" t="s">
        <v>4118</v>
      </c>
      <c r="N550" s="297" t="str">
        <f>IF(M550="sans alignement","",IF(M550="tout alignement", """1_LB"", ""2_NB"", ""3_CB"", ""4_LN"", ""5_NN"", ""6_CN"", ""7_LM"", ""8_NM"", ""9_CM""",IF(M550="tout alignement non bon", """4_LN"", ""5_NN"", ""6_CN"", ""7_LM"", ""8_NM"", ""9_CM""",IF(M550="tout alignement mauvais", """7_LM"", ""8_NM"", ""9_CM""",IF(M550="tout alignement chaotique", """3_CB"", ""6_CN"", ""9_CM""",IF(M550="tout alignement non loyal", """2_NB"", ""3_CB"", ""5_NN"", ""6_CN"", ""8_NM"", ""9_CM""",""""&amp;VLOOKUP(M550,Alignements!$A$2:$B$10,2, FALSE)&amp;""""))))))</f>
        <v>"8_NM"</v>
      </c>
      <c r="O550" s="297"/>
      <c r="P550" t="str">
        <f t="shared" si="26"/>
        <v>"Nécromite of Myrkul": {
  "Name" : "Nécromite of Myrkul",
  "VO" : "Necromite of Myrkul",
  "Family" : "HUMANOID",
  "Species" : ["HUMAN"],
  "FP" : "1/2", 
  "Size" : "M",
  "AC" : 11,
  "HP" : 13, 
  "Speed" : "",
  "Alignments" : ["8_NM"],
  "Legendary" : ""}</v>
      </c>
    </row>
    <row r="551" spans="1:16">
      <c r="A551" s="61" t="s">
        <v>5134</v>
      </c>
      <c r="B551" s="298" t="s">
        <v>5135</v>
      </c>
      <c r="C551" s="306">
        <v>3</v>
      </c>
      <c r="D551" s="298" t="s">
        <v>4117</v>
      </c>
      <c r="E551" s="297" t="str">
        <f t="shared" si="24"/>
        <v>Mort-vivant</v>
      </c>
      <c r="F551" s="297" t="str">
        <f>VLOOKUP(E551,'Types de monstres'!$A$2:$B$17,2,FALSE)</f>
        <v>UNDEAD</v>
      </c>
      <c r="G551" s="297" t="str">
        <f t="shared" si="25"/>
        <v/>
      </c>
      <c r="H551" s="297" t="str">
        <f>IF(OR(G551="",G551="toute race"),"",VLOOKUP(G551,'Types de monstres'!$F$2:$G$49,2,FALSE))</f>
        <v/>
      </c>
      <c r="I551" s="298" t="s">
        <v>4091</v>
      </c>
      <c r="J551" s="300">
        <v>14</v>
      </c>
      <c r="K551" s="300">
        <v>45</v>
      </c>
      <c r="L551" s="298"/>
      <c r="M551" s="298" t="s">
        <v>4118</v>
      </c>
      <c r="N551" s="297" t="str">
        <f>IF(M551="sans alignement","",IF(M551="tout alignement", """1_LB"", ""2_NB"", ""3_CB"", ""4_LN"", ""5_NN"", ""6_CN"", ""7_LM"", ""8_NM"", ""9_CM""",IF(M551="tout alignement non bon", """4_LN"", ""5_NN"", ""6_CN"", ""7_LM"", ""8_NM"", ""9_CM""",IF(M551="tout alignement mauvais", """7_LM"", ""8_NM"", ""9_CM""",IF(M551="tout alignement chaotique", """3_CB"", ""6_CN"", ""9_CM""",IF(M551="tout alignement non loyal", """2_NB"", ""3_CB"", ""5_NN"", ""6_CN"", ""8_NM"", ""9_CM""",""""&amp;VLOOKUP(M551,Alignements!$A$2:$B$10,2, FALSE)&amp;""""))))))</f>
        <v>"8_NM"</v>
      </c>
      <c r="O551" s="298"/>
      <c r="P551" t="str">
        <f t="shared" si="26"/>
        <v>"Nécrophage": {
  "Name" : "Nécrophage",
  "VO" : "Wight",
  "Family" : "UNDEAD",
  "Species" : [""],
  "FP" : "3", 
  "Size" : "M",
  "AC" : 14,
  "HP" : 45, 
  "Speed" : "",
  "Alignments" : ["8_NM"],
  "Legendary" : ""}</v>
      </c>
    </row>
    <row r="552" spans="1:16">
      <c r="A552" s="61" t="s">
        <v>5136</v>
      </c>
      <c r="B552" s="297" t="s">
        <v>5137</v>
      </c>
      <c r="C552" s="305">
        <v>3</v>
      </c>
      <c r="D552" s="297" t="s">
        <v>4111</v>
      </c>
      <c r="E552" s="297" t="str">
        <f t="shared" si="24"/>
        <v>Aberration</v>
      </c>
      <c r="F552" s="297" t="str">
        <f>VLOOKUP(E552,'Types de monstres'!$A$2:$B$17,2,FALSE)</f>
        <v>ABERRATION</v>
      </c>
      <c r="G552" s="297" t="str">
        <f t="shared" si="25"/>
        <v/>
      </c>
      <c r="H552" s="297" t="str">
        <f>IF(OR(G552="",G552="toute race"),"",VLOOKUP(G552,'Types de monstres'!$F$2:$G$49,2,FALSE))</f>
        <v/>
      </c>
      <c r="I552" s="297" t="s">
        <v>4129</v>
      </c>
      <c r="J552" s="302">
        <v>15</v>
      </c>
      <c r="K552" s="302">
        <v>33</v>
      </c>
      <c r="L552" s="297"/>
      <c r="M552" s="297" t="s">
        <v>4097</v>
      </c>
      <c r="N552" s="297" t="str">
        <f>IF(M552="sans alignement","",IF(M552="tout alignement", """1_LB"", ""2_NB"", ""3_CB"", ""4_LN"", ""5_NN"", ""6_CN"", ""7_LM"", ""8_NM"", ""9_CM""",IF(M552="tout alignement non bon", """4_LN"", ""5_NN"", ""6_CN"", ""7_LM"", ""8_NM"", ""9_CM""",IF(M552="tout alignement mauvais", """7_LM"", ""8_NM"", ""9_CM""",IF(M552="tout alignement chaotique", """3_CB"", ""6_CN"", ""9_CM""",IF(M552="tout alignement non loyal", """2_NB"", ""3_CB"", ""5_NN"", ""6_CN"", ""8_NM"", ""9_CM""",""""&amp;VLOOKUP(M552,Alignements!$A$2:$B$10,2, FALSE)&amp;""""))))))</f>
        <v>"7_LM"</v>
      </c>
      <c r="O552" s="297"/>
      <c r="P552" t="str">
        <f t="shared" si="26"/>
        <v>"Néogi": {
  "Name" : "Néogi",
  "VO" : "Neogi",
  "Family" : "ABERRATION",
  "Species" : [""],
  "FP" : "3", 
  "Size" : "P",
  "AC" : 15,
  "HP" : 33, 
  "Speed" : "",
  "Alignments" : ["7_LM"],
  "Legendary" : ""}</v>
      </c>
    </row>
    <row r="553" spans="1:16">
      <c r="A553" s="299" t="s">
        <v>5138</v>
      </c>
      <c r="B553" s="298" t="s">
        <v>5139</v>
      </c>
      <c r="C553" s="306" t="s">
        <v>5619</v>
      </c>
      <c r="D553" s="298" t="s">
        <v>4111</v>
      </c>
      <c r="E553" s="297" t="str">
        <f t="shared" si="24"/>
        <v>Aberration</v>
      </c>
      <c r="F553" s="297" t="str">
        <f>VLOOKUP(E553,'Types de monstres'!$A$2:$B$17,2,FALSE)</f>
        <v>ABERRATION</v>
      </c>
      <c r="G553" s="297" t="str">
        <f t="shared" si="25"/>
        <v/>
      </c>
      <c r="H553" s="297" t="str">
        <f>IF(OR(G553="",G553="toute race"),"",VLOOKUP(G553,'Types de monstres'!$F$2:$G$49,2,FALSE))</f>
        <v/>
      </c>
      <c r="I553" s="298" t="s">
        <v>4154</v>
      </c>
      <c r="J553" s="300">
        <v>11</v>
      </c>
      <c r="K553" s="300">
        <v>7</v>
      </c>
      <c r="L553" s="298"/>
      <c r="M553" s="298" t="s">
        <v>4097</v>
      </c>
      <c r="N553" s="297" t="str">
        <f>IF(M553="sans alignement","",IF(M553="tout alignement", """1_LB"", ""2_NB"", ""3_CB"", ""4_LN"", ""5_NN"", ""6_CN"", ""7_LM"", ""8_NM"", ""9_CM""",IF(M553="tout alignement non bon", """4_LN"", ""5_NN"", ""6_CN"", ""7_LM"", ""8_NM"", ""9_CM""",IF(M553="tout alignement mauvais", """7_LM"", ""8_NM"", ""9_CM""",IF(M553="tout alignement chaotique", """3_CB"", ""6_CN"", ""9_CM""",IF(M553="tout alignement non loyal", """2_NB"", ""3_CB"", ""5_NN"", ""6_CN"", ""8_NM"", ""9_CM""",""""&amp;VLOOKUP(M553,Alignements!$A$2:$B$10,2, FALSE)&amp;""""))))))</f>
        <v>"7_LM"</v>
      </c>
      <c r="O553" s="298"/>
      <c r="P553" t="str">
        <f t="shared" si="26"/>
        <v>"Néogi, larve": {
  "Name" : "Néogi, larve",
  "VO" : "Neogi Hatchling",
  "Family" : "ABERRATION",
  "Species" : [""],
  "FP" : "1/8", 
  "Size" : "TP",
  "AC" : 11,
  "HP" : 7, 
  "Speed" : "",
  "Alignments" : ["7_LM"],
  "Legendary" : ""}</v>
      </c>
    </row>
    <row r="554" spans="1:16">
      <c r="A554" s="301" t="s">
        <v>5140</v>
      </c>
      <c r="B554" s="297" t="s">
        <v>5141</v>
      </c>
      <c r="C554" s="305">
        <v>4</v>
      </c>
      <c r="D554" s="297" t="s">
        <v>4111</v>
      </c>
      <c r="E554" s="297" t="str">
        <f t="shared" si="24"/>
        <v>Aberration</v>
      </c>
      <c r="F554" s="297" t="str">
        <f>VLOOKUP(E554,'Types de monstres'!$A$2:$B$17,2,FALSE)</f>
        <v>ABERRATION</v>
      </c>
      <c r="G554" s="297" t="str">
        <f t="shared" si="25"/>
        <v/>
      </c>
      <c r="H554" s="297" t="str">
        <f>IF(OR(G554="",G554="toute race"),"",VLOOKUP(G554,'Types de monstres'!$F$2:$G$49,2,FALSE))</f>
        <v/>
      </c>
      <c r="I554" s="297" t="s">
        <v>4091</v>
      </c>
      <c r="J554" s="302">
        <v>15</v>
      </c>
      <c r="K554" s="302">
        <v>71</v>
      </c>
      <c r="L554" s="297"/>
      <c r="M554" s="297" t="s">
        <v>4097</v>
      </c>
      <c r="N554" s="297" t="str">
        <f>IF(M554="sans alignement","",IF(M554="tout alignement", """1_LB"", ""2_NB"", ""3_CB"", ""4_LN"", ""5_NN"", ""6_CN"", ""7_LM"", ""8_NM"", ""9_CM""",IF(M554="tout alignement non bon", """4_LN"", ""5_NN"", ""6_CN"", ""7_LM"", ""8_NM"", ""9_CM""",IF(M554="tout alignement mauvais", """7_LM"", ""8_NM"", ""9_CM""",IF(M554="tout alignement chaotique", """3_CB"", ""6_CN"", ""9_CM""",IF(M554="tout alignement non loyal", """2_NB"", ""3_CB"", ""5_NN"", ""6_CN"", ""8_NM"", ""9_CM""",""""&amp;VLOOKUP(M554,Alignements!$A$2:$B$10,2, FALSE)&amp;""""))))))</f>
        <v>"7_LM"</v>
      </c>
      <c r="O554" s="297"/>
      <c r="P554" t="str">
        <f t="shared" si="26"/>
        <v>"Néogi, maître": {
  "Name" : "Néogi, maître",
  "VO" : "Neogi Master",
  "Family" : "ABERRATION",
  "Species" : [""],
  "FP" : "4", 
  "Size" : "M",
  "AC" : 15,
  "HP" : 71, 
  "Speed" : "",
  "Alignments" : ["7_LM"],
  "Legendary" : ""}</v>
      </c>
    </row>
    <row r="555" spans="1:16">
      <c r="A555" s="61" t="s">
        <v>5142</v>
      </c>
      <c r="B555" s="298" t="s">
        <v>5143</v>
      </c>
      <c r="C555" s="306">
        <v>13</v>
      </c>
      <c r="D555" s="298" t="s">
        <v>4111</v>
      </c>
      <c r="E555" s="297" t="str">
        <f t="shared" si="24"/>
        <v>Aberration</v>
      </c>
      <c r="F555" s="297" t="str">
        <f>VLOOKUP(E555,'Types de monstres'!$A$2:$B$17,2,FALSE)</f>
        <v>ABERRATION</v>
      </c>
      <c r="G555" s="297" t="str">
        <f t="shared" si="25"/>
        <v/>
      </c>
      <c r="H555" s="297" t="str">
        <f>IF(OR(G555="",G555="toute race"),"",VLOOKUP(G555,'Types de monstres'!$F$2:$G$49,2,FALSE))</f>
        <v/>
      </c>
      <c r="I555" s="298" t="s">
        <v>4371</v>
      </c>
      <c r="J555" s="300">
        <v>16</v>
      </c>
      <c r="K555" s="300">
        <v>325</v>
      </c>
      <c r="L555" s="298"/>
      <c r="M555" s="298" t="s">
        <v>4137</v>
      </c>
      <c r="N555" s="297" t="str">
        <f>IF(M555="sans alignement","",IF(M555="tout alignement", """1_LB"", ""2_NB"", ""3_CB"", ""4_LN"", ""5_NN"", ""6_CN"", ""7_LM"", ""8_NM"", ""9_CM""",IF(M555="tout alignement non bon", """4_LN"", ""5_NN"", ""6_CN"", ""7_LM"", ""8_NM"", ""9_CM""",IF(M555="tout alignement mauvais", """7_LM"", ""8_NM"", ""9_CM""",IF(M555="tout alignement chaotique", """3_CB"", ""6_CN"", ""9_CM""",IF(M555="tout alignement non loyal", """2_NB"", ""3_CB"", ""5_NN"", ""6_CN"", ""8_NM"", ""9_CM""",""""&amp;VLOOKUP(M555,Alignements!$A$2:$B$10,2, FALSE)&amp;""""))))))</f>
        <v>"9_CM"</v>
      </c>
      <c r="O555" s="298"/>
      <c r="P555" t="str">
        <f t="shared" si="26"/>
        <v>"Néothélide": {
  "Name" : "Néothélide",
  "VO" : "Neothelid",
  "Family" : "ABERRATION",
  "Species" : [""],
  "FP" : "13", 
  "Size" : "Gig",
  "AC" : 16,
  "HP" : 325, 
  "Speed" : "",
  "Alignments" : ["9_CM"],
  "Legendary" : ""}</v>
      </c>
    </row>
    <row r="556" spans="1:16">
      <c r="A556" s="301" t="s">
        <v>5144</v>
      </c>
      <c r="B556" s="297" t="s">
        <v>5145</v>
      </c>
      <c r="C556" s="305">
        <v>3</v>
      </c>
      <c r="D556" s="297" t="s">
        <v>4096</v>
      </c>
      <c r="E556" s="297" t="str">
        <f t="shared" si="24"/>
        <v>Fiélon</v>
      </c>
      <c r="F556" s="297" t="str">
        <f>VLOOKUP(E556,'Types de monstres'!$A$2:$B$17,2,FALSE)</f>
        <v>FIEND</v>
      </c>
      <c r="G556" s="297" t="str">
        <f t="shared" si="25"/>
        <v>diable</v>
      </c>
      <c r="H556" s="297" t="str">
        <f>IF(OR(G556="",G556="toute race"),"",VLOOKUP(G556,'Types de monstres'!$F$2:$G$49,2,FALSE))</f>
        <v>DEVIL</v>
      </c>
      <c r="I556" s="297" t="s">
        <v>4112</v>
      </c>
      <c r="J556" s="302">
        <v>12</v>
      </c>
      <c r="K556" s="302">
        <v>42</v>
      </c>
      <c r="L556" s="297"/>
      <c r="M556" s="297" t="s">
        <v>4097</v>
      </c>
      <c r="N556" s="297" t="str">
        <f>IF(M556="sans alignement","",IF(M556="tout alignement", """1_LB"", ""2_NB"", ""3_CB"", ""4_LN"", ""5_NN"", ""6_CN"", ""7_LM"", ""8_NM"", ""9_CM""",IF(M556="tout alignement non bon", """4_LN"", ""5_NN"", ""6_CN"", ""7_LM"", ""8_NM"", ""9_CM""",IF(M556="tout alignement mauvais", """7_LM"", ""8_NM"", ""9_CM""",IF(M556="tout alignement chaotique", """3_CB"", ""6_CN"", ""9_CM""",IF(M556="tout alignement non loyal", """2_NB"", ""3_CB"", ""5_NN"", ""6_CN"", ""8_NM"", ""9_CM""",""""&amp;VLOOKUP(M556,Alignements!$A$2:$B$10,2, FALSE)&amp;""""))))))</f>
        <v>"7_LM"</v>
      </c>
      <c r="O556" s="297"/>
      <c r="P556" t="str">
        <f t="shared" si="26"/>
        <v>"Nergalien": {
  "Name" : "Nergalien",
  "VO" : "Nergaliid",
  "Family" : "FIEND",
  "Species" : ["DEVIL"],
  "FP" : "3", 
  "Size" : "G",
  "AC" : 12,
  "HP" : 42, 
  "Speed" : "",
  "Alignments" : ["7_LM"],
  "Legendary" : ""}</v>
      </c>
    </row>
    <row r="557" spans="1:16">
      <c r="A557" s="61" t="s">
        <v>5146</v>
      </c>
      <c r="B557" s="298" t="s">
        <v>5146</v>
      </c>
      <c r="C557" s="306" t="s">
        <v>5620</v>
      </c>
      <c r="D557" s="298" t="s">
        <v>4242</v>
      </c>
      <c r="E557" s="297" t="str">
        <f t="shared" si="24"/>
        <v>Humanoïde</v>
      </c>
      <c r="F557" s="297" t="str">
        <f>VLOOKUP(E557,'Types de monstres'!$A$2:$B$17,2,FALSE)</f>
        <v>HUMANOID</v>
      </c>
      <c r="G557" s="297" t="str">
        <f t="shared" si="25"/>
        <v>humain</v>
      </c>
      <c r="H557" s="297" t="str">
        <f>IF(OR(G557="",G557="toute race"),"",VLOOKUP(G557,'Types de monstres'!$F$2:$G$49,2,FALSE))</f>
        <v>HUMAN</v>
      </c>
      <c r="I557" s="298" t="s">
        <v>4091</v>
      </c>
      <c r="J557" s="300">
        <v>14</v>
      </c>
      <c r="K557" s="300">
        <v>22</v>
      </c>
      <c r="L557" s="298"/>
      <c r="M557" s="298" t="s">
        <v>4318</v>
      </c>
      <c r="N557" s="297" t="str">
        <f>IF(M557="sans alignement","",IF(M557="tout alignement", """1_LB"", ""2_NB"", ""3_CB"", ""4_LN"", ""5_NN"", ""6_CN"", ""7_LM"", ""8_NM"", ""9_CM""",IF(M557="tout alignement non bon", """4_LN"", ""5_NN"", ""6_CN"", ""7_LM"", ""8_NM"", ""9_CM""",IF(M557="tout alignement mauvais", """7_LM"", ""8_NM"", ""9_CM""",IF(M557="tout alignement chaotique", """3_CB"", ""6_CN"", ""9_CM""",IF(M557="tout alignement non loyal", """2_NB"", ""3_CB"", ""5_NN"", ""6_CN"", ""8_NM"", ""9_CM""",""""&amp;VLOOKUP(M557,Alignements!$A$2:$B$10,2, FALSE)&amp;""""))))))</f>
        <v>"1_LB"</v>
      </c>
      <c r="O557" s="298"/>
      <c r="P557" t="str">
        <f t="shared" si="26"/>
        <v>"Nerissa": {
  "Name" : "Nerissa",
  "VO" : "Nerissa",
  "Family" : "HUMANOID",
  "Species" : ["HUMAN"],
  "FP" : "1/2", 
  "Size" : "M",
  "AC" : 14,
  "HP" : 22, 
  "Speed" : "",
  "Alignments" : ["1_LB"],
  "Legendary" : ""}</v>
      </c>
    </row>
    <row r="558" spans="1:16">
      <c r="A558" s="61" t="s">
        <v>5147</v>
      </c>
      <c r="B558" s="297" t="s">
        <v>5147</v>
      </c>
      <c r="C558" s="305">
        <v>1</v>
      </c>
      <c r="D558" s="297" t="s">
        <v>4790</v>
      </c>
      <c r="E558" s="297" t="str">
        <f t="shared" si="24"/>
        <v>Humanoïde</v>
      </c>
      <c r="F558" s="297" t="str">
        <f>VLOOKUP(E558,'Types de monstres'!$A$2:$B$17,2,FALSE)</f>
        <v>HUMANOID</v>
      </c>
      <c r="G558" s="297" t="str">
        <f t="shared" si="25"/>
        <v>gobelinoïde</v>
      </c>
      <c r="H558" s="297" t="str">
        <f>IF(OR(G558="",G558="toute race"),"",VLOOKUP(G558,'Types de monstres'!$F$2:$G$49,2,FALSE))</f>
        <v>GOBELINOID</v>
      </c>
      <c r="I558" s="297" t="s">
        <v>4129</v>
      </c>
      <c r="J558" s="302">
        <v>13</v>
      </c>
      <c r="K558" s="302">
        <v>7</v>
      </c>
      <c r="L558" s="297"/>
      <c r="M558" s="297" t="s">
        <v>4137</v>
      </c>
      <c r="N558" s="297" t="str">
        <f>IF(M558="sans alignement","",IF(M558="tout alignement", """1_LB"", ""2_NB"", ""3_CB"", ""4_LN"", ""5_NN"", ""6_CN"", ""7_LM"", ""8_NM"", ""9_CM""",IF(M558="tout alignement non bon", """4_LN"", ""5_NN"", ""6_CN"", ""7_LM"", ""8_NM"", ""9_CM""",IF(M558="tout alignement mauvais", """7_LM"", ""8_NM"", ""9_CM""",IF(M558="tout alignement chaotique", """3_CB"", ""6_CN"", ""9_CM""",IF(M558="tout alignement non loyal", """2_NB"", ""3_CB"", ""5_NN"", ""6_CN"", ""8_NM"", ""9_CM""",""""&amp;VLOOKUP(M558,Alignements!$A$2:$B$10,2, FALSE)&amp;""""))))))</f>
        <v>"9_CM"</v>
      </c>
      <c r="O558" s="297"/>
      <c r="P558" t="str">
        <f t="shared" si="26"/>
        <v>"Nilbog": {
  "Name" : "Nilbog",
  "VO" : "Nilbog",
  "Family" : "HUMANOID",
  "Species" : ["GOBELINOID"],
  "FP" : "1", 
  "Size" : "P",
  "AC" : 13,
  "HP" : 7, 
  "Speed" : "",
  "Alignments" : ["9_CM"],
  "Legendary" : ""}</v>
      </c>
    </row>
    <row r="559" spans="1:16">
      <c r="A559" s="61" t="s">
        <v>969</v>
      </c>
      <c r="B559" s="298" t="s">
        <v>969</v>
      </c>
      <c r="C559" s="306" t="s">
        <v>5619</v>
      </c>
      <c r="D559" s="298" t="s">
        <v>4108</v>
      </c>
      <c r="E559" s="297" t="str">
        <f t="shared" si="24"/>
        <v>Humanoïde</v>
      </c>
      <c r="F559" s="297" t="str">
        <f>VLOOKUP(E559,'Types de monstres'!$A$2:$B$17,2,FALSE)</f>
        <v>HUMANOID</v>
      </c>
      <c r="G559" s="297" t="str">
        <f t="shared" si="25"/>
        <v>toute race</v>
      </c>
      <c r="H559" s="297" t="str">
        <f>IF(OR(G559="",G559="toute race"),"",VLOOKUP(G559,'Types de monstres'!$F$2:$G$49,2,FALSE))</f>
        <v/>
      </c>
      <c r="I559" s="298" t="s">
        <v>4091</v>
      </c>
      <c r="J559" s="300">
        <v>15</v>
      </c>
      <c r="K559" s="300">
        <v>9</v>
      </c>
      <c r="L559" s="298"/>
      <c r="M559" s="298" t="s">
        <v>4109</v>
      </c>
      <c r="N559" s="297" t="str">
        <f>IF(M559="sans alignement","",IF(M559="tout alignement", """1_LB"", ""2_NB"", ""3_CB"", ""4_LN"", ""5_NN"", ""6_CN"", ""7_LM"", ""8_NM"", ""9_CM""",IF(M559="tout alignement non bon", """4_LN"", ""5_NN"", ""6_CN"", ""7_LM"", ""8_NM"", ""9_CM""",IF(M559="tout alignement mauvais", """7_LM"", ""8_NM"", ""9_CM""",IF(M559="tout alignement chaotique", """3_CB"", ""6_CN"", ""9_CM""",IF(M559="tout alignement non loyal", """2_NB"", ""3_CB"", ""5_NN"", ""6_CN"", ""8_NM"", ""9_CM""",""""&amp;VLOOKUP(M559,Alignements!$A$2:$B$10,2, FALSE)&amp;""""))))))</f>
        <v>"1_LB", "2_NB", "3_CB", "4_LN", "5_NN", "6_CN", "7_LM", "8_NM", "9_CM"</v>
      </c>
      <c r="O559" s="298"/>
      <c r="P559" t="str">
        <f t="shared" si="26"/>
        <v>"Noble": {
  "Name" : "Noble",
  "VO" : "Noble",
  "Family" : "HUMANOID",
  "Species" : [""],
  "FP" : "1/8", 
  "Size" : "M",
  "AC" : 15,
  "HP" : 9, 
  "Speed" : "",
  "Alignments" : ["1_LB", "2_NB", "3_CB", "4_LN", "5_NN", "6_CN", "7_LM", "8_NM", "9_CM"],
  "Legendary" : ""}</v>
      </c>
    </row>
    <row r="560" spans="1:16">
      <c r="A560" s="61" t="s">
        <v>5148</v>
      </c>
      <c r="B560" s="297" t="s">
        <v>5148</v>
      </c>
      <c r="C560" s="305">
        <v>2</v>
      </c>
      <c r="D560" s="297" t="s">
        <v>4111</v>
      </c>
      <c r="E560" s="297" t="str">
        <f t="shared" si="24"/>
        <v>Aberration</v>
      </c>
      <c r="F560" s="297" t="str">
        <f>VLOOKUP(E560,'Types de monstres'!$A$2:$B$17,2,FALSE)</f>
        <v>ABERRATION</v>
      </c>
      <c r="G560" s="297" t="str">
        <f t="shared" si="25"/>
        <v/>
      </c>
      <c r="H560" s="297" t="str">
        <f>IF(OR(G560="",G560="toute race"),"",VLOOKUP(G560,'Types de monstres'!$F$2:$G$49,2,FALSE))</f>
        <v/>
      </c>
      <c r="I560" s="297" t="s">
        <v>4091</v>
      </c>
      <c r="J560" s="302">
        <v>15</v>
      </c>
      <c r="K560" s="302">
        <v>45</v>
      </c>
      <c r="L560" s="297"/>
      <c r="M560" s="297" t="s">
        <v>4118</v>
      </c>
      <c r="N560" s="297" t="str">
        <f>IF(M560="sans alignement","",IF(M560="tout alignement", """1_LB"", ""2_NB"", ""3_CB"", ""4_LN"", ""5_NN"", ""6_CN"", ""7_LM"", ""8_NM"", ""9_CM""",IF(M560="tout alignement non bon", """4_LN"", ""5_NN"", ""6_CN"", ""7_LM"", ""8_NM"", ""9_CM""",IF(M560="tout alignement mauvais", """7_LM"", ""8_NM"", ""9_CM""",IF(M560="tout alignement chaotique", """3_CB"", ""6_CN"", ""9_CM""",IF(M560="tout alignement non loyal", """2_NB"", ""3_CB"", ""5_NN"", ""6_CN"", ""8_NM"", ""9_CM""",""""&amp;VLOOKUP(M560,Alignements!$A$2:$B$10,2, FALSE)&amp;""""))))))</f>
        <v>"8_NM"</v>
      </c>
      <c r="O560" s="297"/>
      <c r="P560" t="str">
        <f t="shared" si="26"/>
        <v>"Nothic": {
  "Name" : "Nothic",
  "VO" : "Nothic",
  "Family" : "ABERRATION",
  "Species" : [""],
  "FP" : "2", 
  "Size" : "M",
  "AC" : 15,
  "HP" : 45, 
  "Speed" : "",
  "Alignments" : ["8_NM"],
  "Legendary" : ""}</v>
      </c>
    </row>
    <row r="561" spans="1:16">
      <c r="A561" s="61" t="s">
        <v>5149</v>
      </c>
      <c r="B561" s="298" t="s">
        <v>5150</v>
      </c>
      <c r="C561" s="306">
        <v>7</v>
      </c>
      <c r="D561" s="298" t="s">
        <v>4181</v>
      </c>
      <c r="E561" s="297" t="str">
        <f t="shared" si="24"/>
        <v>Créature artificielle</v>
      </c>
      <c r="F561" s="297" t="str">
        <f>VLOOKUP(E561,'Types de monstres'!$A$2:$B$17,2,FALSE)</f>
        <v>ARTIFICIAL_CREATURE</v>
      </c>
      <c r="G561" s="297" t="str">
        <f t="shared" si="25"/>
        <v/>
      </c>
      <c r="H561" s="297" t="str">
        <f>IF(OR(G561="",G561="toute race"),"",VLOOKUP(G561,'Types de monstres'!$F$2:$G$49,2,FALSE))</f>
        <v/>
      </c>
      <c r="I561" s="298" t="s">
        <v>4112</v>
      </c>
      <c r="J561" s="300">
        <v>15</v>
      </c>
      <c r="K561" s="300">
        <v>73</v>
      </c>
      <c r="L561" s="298" t="s">
        <v>4092</v>
      </c>
      <c r="M561" s="298" t="s">
        <v>4130</v>
      </c>
      <c r="N561" s="297" t="str">
        <f>IF(M561="sans alignement","",IF(M561="tout alignement", """1_LB"", ""2_NB"", ""3_CB"", ""4_LN"", ""5_NN"", ""6_CN"", ""7_LM"", ""8_NM"", ""9_CM""",IF(M561="tout alignement non bon", """4_LN"", ""5_NN"", ""6_CN"", ""7_LM"", ""8_NM"", ""9_CM""",IF(M561="tout alignement mauvais", """7_LM"", ""8_NM"", ""9_CM""",IF(M561="tout alignement chaotique", """3_CB"", ""6_CN"", ""9_CM""",IF(M561="tout alignement non loyal", """2_NB"", ""3_CB"", ""5_NN"", ""6_CN"", ""8_NM"", ""9_CM""",""""&amp;VLOOKUP(M561,Alignements!$A$2:$B$10,2, FALSE)&amp;""""))))))</f>
        <v/>
      </c>
      <c r="O561" s="298"/>
      <c r="P561" t="str">
        <f t="shared" si="26"/>
        <v>"Nuage mortel vivant": {
  "Name" : "Nuage mortel vivant",
  "VO" : "Living Cloudkill",
  "Family" : "ARTIFICIAL_CREATURE",
  "Species" : [""],
  "FP" : "7", 
  "Size" : "G",
  "AC" : 15,
  "HP" : 73, 
  "Speed" : "vol",
  "Alignments" : [],
  "Legendary" : ""}</v>
      </c>
    </row>
    <row r="562" spans="1:16">
      <c r="A562" s="61" t="s">
        <v>5151</v>
      </c>
      <c r="B562" s="297" t="s">
        <v>5152</v>
      </c>
      <c r="C562" s="305" t="s">
        <v>5620</v>
      </c>
      <c r="D562" s="297" t="s">
        <v>5725</v>
      </c>
      <c r="E562" s="297" t="str">
        <f t="shared" si="24"/>
        <v>Nuée de bêtes</v>
      </c>
      <c r="F562" s="297" t="str">
        <f>VLOOKUP(E562,'Types de monstres'!$A$2:$B$17,2,FALSE)</f>
        <v>CLOUD_BEASTS</v>
      </c>
      <c r="G562" s="297" t="str">
        <f t="shared" si="25"/>
        <v/>
      </c>
      <c r="H562" s="297" t="str">
        <f>IF(OR(G562="",G562="toute race"),"",VLOOKUP(G562,'Types de monstres'!$F$2:$G$49,2,FALSE))</f>
        <v/>
      </c>
      <c r="I562" s="297" t="s">
        <v>4091</v>
      </c>
      <c r="J562" s="302">
        <v>12</v>
      </c>
      <c r="K562" s="302">
        <v>22</v>
      </c>
      <c r="L562" s="297"/>
      <c r="M562" s="297" t="s">
        <v>4130</v>
      </c>
      <c r="N562" s="297" t="str">
        <f>IF(M562="sans alignement","",IF(M562="tout alignement", """1_LB"", ""2_NB"", ""3_CB"", ""4_LN"", ""5_NN"", ""6_CN"", ""7_LM"", ""8_NM"", ""9_CM""",IF(M562="tout alignement non bon", """4_LN"", ""5_NN"", ""6_CN"", ""7_LM"", ""8_NM"", ""9_CM""",IF(M562="tout alignement mauvais", """7_LM"", ""8_NM"", ""9_CM""",IF(M562="tout alignement chaotique", """3_CB"", ""6_CN"", ""9_CM""",IF(M562="tout alignement non loyal", """2_NB"", ""3_CB"", ""5_NN"", ""6_CN"", ""8_NM"", ""9_CM""",""""&amp;VLOOKUP(M562,Alignements!$A$2:$B$10,2, FALSE)&amp;""""))))))</f>
        <v/>
      </c>
      <c r="O562" s="297"/>
      <c r="P562" t="str">
        <f t="shared" si="26"/>
        <v>"Nuée d'insectes": {
  "Name" : "Nuée d'insectes",
  "VO" : "Swarm of Insects",
  "Family" : "CLOUD_BEASTS",
  "Species" : [""],
  "FP" : "1/2", 
  "Size" : "M",
  "AC" : 12,
  "HP" : 22, 
  "Speed" : "",
  "Alignments" : [],
  "Legendary" : ""}</v>
      </c>
    </row>
    <row r="563" spans="1:16">
      <c r="A563" s="61" t="s">
        <v>5153</v>
      </c>
      <c r="B563" s="298" t="s">
        <v>5154</v>
      </c>
      <c r="C563" s="306" t="s">
        <v>5618</v>
      </c>
      <c r="D563" s="298" t="s">
        <v>5725</v>
      </c>
      <c r="E563" s="297" t="str">
        <f t="shared" si="24"/>
        <v>Nuée de bêtes</v>
      </c>
      <c r="F563" s="297" t="str">
        <f>VLOOKUP(E563,'Types de monstres'!$A$2:$B$17,2,FALSE)</f>
        <v>CLOUD_BEASTS</v>
      </c>
      <c r="G563" s="297" t="str">
        <f t="shared" si="25"/>
        <v/>
      </c>
      <c r="H563" s="297" t="str">
        <f>IF(OR(G563="",G563="toute race"),"",VLOOKUP(G563,'Types de monstres'!$F$2:$G$49,2,FALSE))</f>
        <v/>
      </c>
      <c r="I563" s="298" t="s">
        <v>4091</v>
      </c>
      <c r="J563" s="300">
        <v>12</v>
      </c>
      <c r="K563" s="300">
        <v>22</v>
      </c>
      <c r="L563" s="298" t="s">
        <v>4092</v>
      </c>
      <c r="M563" s="298" t="s">
        <v>4130</v>
      </c>
      <c r="N563" s="297" t="str">
        <f>IF(M563="sans alignement","",IF(M563="tout alignement", """1_LB"", ""2_NB"", ""3_CB"", ""4_LN"", ""5_NN"", ""6_CN"", ""7_LM"", ""8_NM"", ""9_CM""",IF(M563="tout alignement non bon", """4_LN"", ""5_NN"", ""6_CN"", ""7_LM"", ""8_NM"", ""9_CM""",IF(M563="tout alignement mauvais", """7_LM"", ""8_NM"", ""9_CM""",IF(M563="tout alignement chaotique", """3_CB"", ""6_CN"", ""9_CM""",IF(M563="tout alignement non loyal", """2_NB"", ""3_CB"", ""5_NN"", ""6_CN"", ""8_NM"", ""9_CM""",""""&amp;VLOOKUP(M563,Alignements!$A$2:$B$10,2, FALSE)&amp;""""))))))</f>
        <v/>
      </c>
      <c r="O563" s="298"/>
      <c r="P563" t="str">
        <f t="shared" si="26"/>
        <v>"Nuée de chauves-souris": {
  "Name" : "Nuée de chauves-souris",
  "VO" : "Swarm of Bats",
  "Family" : "CLOUD_BEASTS",
  "Species" : [""],
  "FP" : "1/4", 
  "Size" : "M",
  "AC" : 12,
  "HP" : 22, 
  "Speed" : "vol",
  "Alignments" : [],
  "Legendary" : ""}</v>
      </c>
    </row>
    <row r="564" spans="1:16">
      <c r="A564" s="61" t="s">
        <v>5155</v>
      </c>
      <c r="B564" s="297" t="s">
        <v>5156</v>
      </c>
      <c r="C564" s="305" t="s">
        <v>5618</v>
      </c>
      <c r="D564" s="297" t="s">
        <v>5725</v>
      </c>
      <c r="E564" s="297" t="str">
        <f t="shared" si="24"/>
        <v>Nuée de bêtes</v>
      </c>
      <c r="F564" s="297" t="str">
        <f>VLOOKUP(E564,'Types de monstres'!$A$2:$B$17,2,FALSE)</f>
        <v>CLOUD_BEASTS</v>
      </c>
      <c r="G564" s="297" t="str">
        <f t="shared" si="25"/>
        <v/>
      </c>
      <c r="H564" s="297" t="str">
        <f>IF(OR(G564="",G564="toute race"),"",VLOOKUP(G564,'Types de monstres'!$F$2:$G$49,2,FALSE))</f>
        <v/>
      </c>
      <c r="I564" s="297" t="s">
        <v>4091</v>
      </c>
      <c r="J564" s="302">
        <v>12</v>
      </c>
      <c r="K564" s="302">
        <v>24</v>
      </c>
      <c r="L564" s="297" t="s">
        <v>4092</v>
      </c>
      <c r="M564" s="297" t="s">
        <v>4130</v>
      </c>
      <c r="N564" s="297" t="str">
        <f>IF(M564="sans alignement","",IF(M564="tout alignement", """1_LB"", ""2_NB"", ""3_CB"", ""4_LN"", ""5_NN"", ""6_CN"", ""7_LM"", ""8_NM"", ""9_CM""",IF(M564="tout alignement non bon", """4_LN"", ""5_NN"", ""6_CN"", ""7_LM"", ""8_NM"", ""9_CM""",IF(M564="tout alignement mauvais", """7_LM"", ""8_NM"", ""9_CM""",IF(M564="tout alignement chaotique", """3_CB"", ""6_CN"", ""9_CM""",IF(M564="tout alignement non loyal", """2_NB"", ""3_CB"", ""5_NN"", ""6_CN"", ""8_NM"", ""9_CM""",""""&amp;VLOOKUP(M564,Alignements!$A$2:$B$10,2, FALSE)&amp;""""))))))</f>
        <v/>
      </c>
      <c r="O564" s="297"/>
      <c r="P564" t="str">
        <f t="shared" si="26"/>
        <v>"Nuée de corbeaux": {
  "Name" : "Nuée de corbeaux",
  "VO" : "Swarm of Ravens",
  "Family" : "CLOUD_BEASTS",
  "Species" : [""],
  "FP" : "1/4", 
  "Size" : "M",
  "AC" : 12,
  "HP" : 24, 
  "Speed" : "vol",
  "Alignments" : [],
  "Legendary" : ""}</v>
      </c>
    </row>
    <row r="565" spans="1:16" ht="21">
      <c r="A565" s="61" t="s">
        <v>5157</v>
      </c>
      <c r="B565" s="298" t="s">
        <v>5158</v>
      </c>
      <c r="C565" s="306" t="s">
        <v>5620</v>
      </c>
      <c r="D565" s="298" t="s">
        <v>5723</v>
      </c>
      <c r="E565" s="297" t="str">
        <f t="shared" si="24"/>
        <v>Nuée d'humanoïdes</v>
      </c>
      <c r="F565" s="297" t="str">
        <f>VLOOKUP(E565,'Types de monstres'!$A$2:$B$17,2,FALSE)</f>
        <v>CLOUD_HUMANOID</v>
      </c>
      <c r="G565" s="297" t="str">
        <f t="shared" si="25"/>
        <v>gobelinoïde</v>
      </c>
      <c r="H565" s="297" t="str">
        <f>IF(OR(G565="",G565="toute race"),"",VLOOKUP(G565,'Types de monstres'!$F$2:$G$49,2,FALSE))</f>
        <v>GOBELINOID</v>
      </c>
      <c r="I565" s="298" t="s">
        <v>4091</v>
      </c>
      <c r="J565" s="300">
        <v>12</v>
      </c>
      <c r="K565" s="300">
        <v>22</v>
      </c>
      <c r="L565" s="298"/>
      <c r="M565" s="298" t="s">
        <v>4097</v>
      </c>
      <c r="N565" s="297" t="str">
        <f>IF(M565="sans alignement","",IF(M565="tout alignement", """1_LB"", ""2_NB"", ""3_CB"", ""4_LN"", ""5_NN"", ""6_CN"", ""7_LM"", ""8_NM"", ""9_CM""",IF(M565="tout alignement non bon", """4_LN"", ""5_NN"", ""6_CN"", ""7_LM"", ""8_NM"", ""9_CM""",IF(M565="tout alignement mauvais", """7_LM"", ""8_NM"", ""9_CM""",IF(M565="tout alignement chaotique", """3_CB"", ""6_CN"", ""9_CM""",IF(M565="tout alignement non loyal", """2_NB"", ""3_CB"", ""5_NN"", ""6_CN"", ""8_NM"", ""9_CM""",""""&amp;VLOOKUP(M565,Alignements!$A$2:$B$10,2, FALSE)&amp;""""))))))</f>
        <v>"7_LM"</v>
      </c>
      <c r="O565" s="298"/>
      <c r="P565" t="str">
        <f t="shared" si="26"/>
        <v>"Nuée de gobelins maudits": {
  "Name" : "Nuée de gobelins maudits",
  "VO" : "Swarms of Cursed Goblins",
  "Family" : "CLOUD_HUMANOID",
  "Species" : ["GOBELINOID"],
  "FP" : "1/2", 
  "Size" : "M",
  "AC" : 12,
  "HP" : 22, 
  "Speed" : "",
  "Alignments" : ["7_LM"],
  "Legendary" : ""}</v>
      </c>
    </row>
    <row r="566" spans="1:16">
      <c r="A566" s="61" t="s">
        <v>5159</v>
      </c>
      <c r="B566" s="297" t="s">
        <v>5160</v>
      </c>
      <c r="C566" s="305">
        <v>1</v>
      </c>
      <c r="D566" s="297" t="s">
        <v>5725</v>
      </c>
      <c r="E566" s="297" t="str">
        <f t="shared" si="24"/>
        <v>Nuée de bêtes</v>
      </c>
      <c r="F566" s="297" t="str">
        <f>VLOOKUP(E566,'Types de monstres'!$A$2:$B$17,2,FALSE)</f>
        <v>CLOUD_BEASTS</v>
      </c>
      <c r="G566" s="297" t="str">
        <f t="shared" si="25"/>
        <v/>
      </c>
      <c r="H566" s="297" t="str">
        <f>IF(OR(G566="",G566="toute race"),"",VLOOKUP(G566,'Types de monstres'!$F$2:$G$49,2,FALSE))</f>
        <v/>
      </c>
      <c r="I566" s="297" t="s">
        <v>4091</v>
      </c>
      <c r="J566" s="302">
        <v>13</v>
      </c>
      <c r="K566" s="302">
        <v>28</v>
      </c>
      <c r="L566" s="297" t="s">
        <v>4113</v>
      </c>
      <c r="M566" s="297" t="s">
        <v>4130</v>
      </c>
      <c r="N566" s="297" t="str">
        <f>IF(M566="sans alignement","",IF(M566="tout alignement", """1_LB"", ""2_NB"", ""3_CB"", ""4_LN"", ""5_NN"", ""6_CN"", ""7_LM"", ""8_NM"", ""9_CM""",IF(M566="tout alignement non bon", """4_LN"", ""5_NN"", ""6_CN"", ""7_LM"", ""8_NM"", ""9_CM""",IF(M566="tout alignement mauvais", """7_LM"", ""8_NM"", ""9_CM""",IF(M566="tout alignement chaotique", """3_CB"", ""6_CN"", ""9_CM""",IF(M566="tout alignement non loyal", """2_NB"", ""3_CB"", ""5_NN"", ""6_CN"", ""8_NM"", ""9_CM""",""""&amp;VLOOKUP(M566,Alignements!$A$2:$B$10,2, FALSE)&amp;""""))))))</f>
        <v/>
      </c>
      <c r="O566" s="297"/>
      <c r="P566" t="str">
        <f t="shared" si="26"/>
        <v>"Nuée de piranhas": {
  "Name" : "Nuée de piranhas",
  "VO" : "Swarm of Quippers",
  "Family" : "CLOUD_BEASTS",
  "Species" : [""],
  "FP" : "1", 
  "Size" : "M",
  "AC" : 13,
  "HP" : 28, 
  "Speed" : "nage",
  "Alignments" : [],
  "Legendary" : ""}</v>
      </c>
    </row>
    <row r="567" spans="1:16">
      <c r="A567" s="61" t="s">
        <v>5161</v>
      </c>
      <c r="B567" s="298" t="s">
        <v>5162</v>
      </c>
      <c r="C567" s="306" t="s">
        <v>5618</v>
      </c>
      <c r="D567" s="298" t="s">
        <v>5725</v>
      </c>
      <c r="E567" s="297" t="str">
        <f t="shared" si="24"/>
        <v>Nuée de bêtes</v>
      </c>
      <c r="F567" s="297" t="str">
        <f>VLOOKUP(E567,'Types de monstres'!$A$2:$B$17,2,FALSE)</f>
        <v>CLOUD_BEASTS</v>
      </c>
      <c r="G567" s="297" t="str">
        <f t="shared" si="25"/>
        <v/>
      </c>
      <c r="H567" s="297" t="str">
        <f>IF(OR(G567="",G567="toute race"),"",VLOOKUP(G567,'Types de monstres'!$F$2:$G$49,2,FALSE))</f>
        <v/>
      </c>
      <c r="I567" s="298" t="s">
        <v>4091</v>
      </c>
      <c r="J567" s="300">
        <v>10</v>
      </c>
      <c r="K567" s="300">
        <v>24</v>
      </c>
      <c r="L567" s="298"/>
      <c r="M567" s="298" t="s">
        <v>4130</v>
      </c>
      <c r="N567" s="297" t="str">
        <f>IF(M567="sans alignement","",IF(M567="tout alignement", """1_LB"", ""2_NB"", ""3_CB"", ""4_LN"", ""5_NN"", ""6_CN"", ""7_LM"", ""8_NM"", ""9_CM""",IF(M567="tout alignement non bon", """4_LN"", ""5_NN"", ""6_CN"", ""7_LM"", ""8_NM"", ""9_CM""",IF(M567="tout alignement mauvais", """7_LM"", ""8_NM"", ""9_CM""",IF(M567="tout alignement chaotique", """3_CB"", ""6_CN"", ""9_CM""",IF(M567="tout alignement non loyal", """2_NB"", ""3_CB"", ""5_NN"", ""6_CN"", ""8_NM"", ""9_CM""",""""&amp;VLOOKUP(M567,Alignements!$A$2:$B$10,2, FALSE)&amp;""""))))))</f>
        <v/>
      </c>
      <c r="O567" s="298"/>
      <c r="P567" t="str">
        <f t="shared" si="26"/>
        <v>"Nuée de rats": {
  "Name" : "Nuée de rats",
  "VO" : "Swarm of Rats",
  "Family" : "CLOUD_BEASTS",
  "Species" : [""],
  "FP" : "1/4", 
  "Size" : "M",
  "AC" : 10,
  "HP" : 24, 
  "Speed" : "",
  "Alignments" : [],
  "Legendary" : ""}</v>
      </c>
    </row>
    <row r="568" spans="1:16" ht="21">
      <c r="A568" s="301" t="s">
        <v>5163</v>
      </c>
      <c r="B568" s="297" t="s">
        <v>5164</v>
      </c>
      <c r="C568" s="305">
        <v>5</v>
      </c>
      <c r="D568" s="297" t="s">
        <v>5725</v>
      </c>
      <c r="E568" s="297" t="str">
        <f t="shared" si="24"/>
        <v>Nuée de bêtes</v>
      </c>
      <c r="F568" s="297" t="str">
        <f>VLOOKUP(E568,'Types de monstres'!$A$2:$B$17,2,FALSE)</f>
        <v>CLOUD_BEASTS</v>
      </c>
      <c r="G568" s="297" t="str">
        <f t="shared" si="25"/>
        <v/>
      </c>
      <c r="H568" s="297" t="str">
        <f>IF(OR(G568="",G568="toute race"),"",VLOOKUP(G568,'Types de monstres'!$F$2:$G$49,2,FALSE))</f>
        <v/>
      </c>
      <c r="I568" s="297" t="s">
        <v>4091</v>
      </c>
      <c r="J568" s="302">
        <v>12</v>
      </c>
      <c r="K568" s="302">
        <v>36</v>
      </c>
      <c r="L568" s="297"/>
      <c r="M568" s="297" t="s">
        <v>4097</v>
      </c>
      <c r="N568" s="297" t="str">
        <f>IF(M568="sans alignement","",IF(M568="tout alignement", """1_LB"", ""2_NB"", ""3_CB"", ""4_LN"", ""5_NN"", ""6_CN"", ""7_LM"", ""8_NM"", ""9_CM""",IF(M568="tout alignement non bon", """4_LN"", ""5_NN"", ""6_CN"", ""7_LM"", ""8_NM"", ""9_CM""",IF(M568="tout alignement mauvais", """7_LM"", ""8_NM"", ""9_CM""",IF(M568="tout alignement chaotique", """3_CB"", ""6_CN"", ""9_CM""",IF(M568="tout alignement non loyal", """2_NB"", ""3_CB"", ""5_NN"", ""6_CN"", ""8_NM"", ""9_CM""",""""&amp;VLOOKUP(M568,Alignements!$A$2:$B$10,2, FALSE)&amp;""""))))))</f>
        <v>"7_LM"</v>
      </c>
      <c r="O568" s="297"/>
      <c r="P568" t="str">
        <f t="shared" si="26"/>
        <v>"Nuée de rats-crâne": {
  "Name" : "Nuée de rats-crâne",
  "VO" : "Swarm of Cranium Rats",
  "Family" : "CLOUD_BEASTS",
  "Species" : [""],
  "FP" : "5", 
  "Size" : "M",
  "AC" : 12,
  "HP" : 36, 
  "Speed" : "",
  "Alignments" : ["7_LM"],
  "Legendary" : ""}</v>
      </c>
    </row>
    <row r="569" spans="1:16" ht="21">
      <c r="A569" s="61" t="s">
        <v>5165</v>
      </c>
      <c r="B569" s="298" t="s">
        <v>5166</v>
      </c>
      <c r="C569" s="306">
        <v>2</v>
      </c>
      <c r="D569" s="298" t="s">
        <v>5725</v>
      </c>
      <c r="E569" s="297" t="str">
        <f t="shared" si="24"/>
        <v>Nuée de bêtes</v>
      </c>
      <c r="F569" s="297" t="str">
        <f>VLOOKUP(E569,'Types de monstres'!$A$2:$B$17,2,FALSE)</f>
        <v>CLOUD_BEASTS</v>
      </c>
      <c r="G569" s="297" t="str">
        <f t="shared" si="25"/>
        <v/>
      </c>
      <c r="H569" s="297" t="str">
        <f>IF(OR(G569="",G569="toute race"),"",VLOOKUP(G569,'Types de monstres'!$F$2:$G$49,2,FALSE))</f>
        <v/>
      </c>
      <c r="I569" s="298" t="s">
        <v>4091</v>
      </c>
      <c r="J569" s="300">
        <v>14</v>
      </c>
      <c r="K569" s="300">
        <v>36</v>
      </c>
      <c r="L569" s="298" t="s">
        <v>4113</v>
      </c>
      <c r="M569" s="298" t="s">
        <v>4130</v>
      </c>
      <c r="N569" s="297" t="str">
        <f>IF(M569="sans alignement","",IF(M569="tout alignement", """1_LB"", ""2_NB"", ""3_CB"", ""4_LN"", ""5_NN"", ""6_CN"", ""7_LM"", ""8_NM"", ""9_CM""",IF(M569="tout alignement non bon", """4_LN"", ""5_NN"", ""6_CN"", ""7_LM"", ""8_NM"", ""9_CM""",IF(M569="tout alignement mauvais", """7_LM"", ""8_NM"", ""9_CM""",IF(M569="tout alignement chaotique", """3_CB"", ""6_CN"", ""9_CM""",IF(M569="tout alignement non loyal", """2_NB"", ""3_CB"", ""5_NN"", ""6_CN"", ""8_NM"", ""9_CM""",""""&amp;VLOOKUP(M569,Alignements!$A$2:$B$10,2, FALSE)&amp;""""))))))</f>
        <v/>
      </c>
      <c r="O569" s="298"/>
      <c r="P569" t="str">
        <f t="shared" si="26"/>
        <v>"Nuée de serpents venimeux": {
  "Name" : "Nuée de serpents venimeux",
  "VO" : "Swarm of Poisonous Snakes",
  "Family" : "CLOUD_BEASTS",
  "Species" : [""],
  "FP" : "2", 
  "Size" : "M",
  "AC" : 14,
  "HP" : 36, 
  "Speed" : "nage",
  "Alignments" : [],
  "Legendary" : ""}</v>
      </c>
    </row>
    <row r="570" spans="1:16" ht="21">
      <c r="A570" s="61" t="s">
        <v>5167</v>
      </c>
      <c r="B570" s="297" t="s">
        <v>5168</v>
      </c>
      <c r="C570" s="305" t="s">
        <v>5620</v>
      </c>
      <c r="D570" s="297" t="s">
        <v>5725</v>
      </c>
      <c r="E570" s="297" t="str">
        <f t="shared" si="24"/>
        <v>Nuée de bêtes</v>
      </c>
      <c r="F570" s="297" t="str">
        <f>VLOOKUP(E570,'Types de monstres'!$A$2:$B$17,2,FALSE)</f>
        <v>CLOUD_BEASTS</v>
      </c>
      <c r="G570" s="297" t="str">
        <f t="shared" si="25"/>
        <v/>
      </c>
      <c r="H570" s="297" t="str">
        <f>IF(OR(G570="",G570="toute race"),"",VLOOKUP(G570,'Types de monstres'!$F$2:$G$49,2,FALSE))</f>
        <v/>
      </c>
      <c r="I570" s="297" t="s">
        <v>4091</v>
      </c>
      <c r="J570" s="302">
        <v>8</v>
      </c>
      <c r="K570" s="302">
        <v>22</v>
      </c>
      <c r="L570" s="297"/>
      <c r="M570" s="297" t="s">
        <v>4130</v>
      </c>
      <c r="N570" s="297" t="str">
        <f>IF(M570="sans alignement","",IF(M570="tout alignement", """1_LB"", ""2_NB"", ""3_CB"", ""4_LN"", ""5_NN"", ""6_CN"", ""7_LM"", ""8_NM"", ""9_CM""",IF(M570="tout alignement non bon", """4_LN"", ""5_NN"", ""6_CN"", ""7_LM"", ""8_NM"", ""9_CM""",IF(M570="tout alignement mauvais", """7_LM"", ""8_NM"", ""9_CM""",IF(M570="tout alignement chaotique", """3_CB"", ""6_CN"", ""9_CM""",IF(M570="tout alignement non loyal", """2_NB"", ""3_CB"", ""5_NN"", ""6_CN"", ""8_NM"", ""9_CM""",""""&amp;VLOOKUP(M570,Alignements!$A$2:$B$10,2, FALSE)&amp;""""))))))</f>
        <v/>
      </c>
      <c r="O570" s="297"/>
      <c r="P570" t="str">
        <f t="shared" si="26"/>
        <v>"Nuée de vers putrides": {
  "Name" : "Nuée de vers putrides",
  "VO" : "Swarm of Rot Grubs",
  "Family" : "CLOUD_BEASTS",
  "Species" : [""],
  "FP" : "1/2", 
  "Size" : "M",
  "AC" : 8,
  "HP" : 22, 
  "Speed" : "",
  "Alignments" : [],
  "Legendary" : ""}</v>
      </c>
    </row>
    <row r="571" spans="1:16">
      <c r="A571" s="299" t="s">
        <v>5169</v>
      </c>
      <c r="B571" s="298" t="s">
        <v>5169</v>
      </c>
      <c r="C571" s="306" t="s">
        <v>5620</v>
      </c>
      <c r="D571" s="298" t="s">
        <v>4096</v>
      </c>
      <c r="E571" s="297" t="str">
        <f t="shared" si="24"/>
        <v>Fiélon</v>
      </c>
      <c r="F571" s="297" t="str">
        <f>VLOOKUP(E571,'Types de monstres'!$A$2:$B$17,2,FALSE)</f>
        <v>FIEND</v>
      </c>
      <c r="G571" s="297" t="str">
        <f t="shared" si="25"/>
        <v>diable</v>
      </c>
      <c r="H571" s="297" t="str">
        <f>IF(OR(G571="",G571="toute race"),"",VLOOKUP(G571,'Types de monstres'!$F$2:$G$49,2,FALSE))</f>
        <v>DEVIL</v>
      </c>
      <c r="I571" s="298" t="s">
        <v>4091</v>
      </c>
      <c r="J571" s="300">
        <v>13</v>
      </c>
      <c r="K571" s="300">
        <v>11</v>
      </c>
      <c r="L571" s="298"/>
      <c r="M571" s="298" t="s">
        <v>4097</v>
      </c>
      <c r="N571" s="297" t="str">
        <f>IF(M571="sans alignement","",IF(M571="tout alignement", """1_LB"", ""2_NB"", ""3_CB"", ""4_LN"", ""5_NN"", ""6_CN"", ""7_LM"", ""8_NM"", ""9_CM""",IF(M571="tout alignement non bon", """4_LN"", ""5_NN"", ""6_CN"", ""7_LM"", ""8_NM"", ""9_CM""",IF(M571="tout alignement mauvais", """7_LM"", ""8_NM"", ""9_CM""",IF(M571="tout alignement chaotique", """3_CB"", ""6_CN"", ""9_CM""",IF(M571="tout alignement non loyal", """2_NB"", ""3_CB"", ""5_NN"", ""6_CN"", ""8_NM"", ""9_CM""",""""&amp;VLOOKUP(M571,Alignements!$A$2:$B$10,2, FALSE)&amp;""""))))))</f>
        <v>"7_LM"</v>
      </c>
      <c r="O571" s="298"/>
      <c r="P571" t="str">
        <f t="shared" si="26"/>
        <v>"Nupperibo": {
  "Name" : "Nupperibo",
  "VO" : "Nupperibo",
  "Family" : "FIEND",
  "Species" : ["DEVIL"],
  "FP" : "1/2", 
  "Size" : "M",
  "AC" : 13,
  "HP" : 11, 
  "Speed" : "",
  "Alignments" : ["7_LM"],
  "Legendary" : ""}</v>
      </c>
    </row>
    <row r="572" spans="1:16">
      <c r="A572" s="61" t="s">
        <v>5170</v>
      </c>
      <c r="B572" s="297" t="s">
        <v>5170</v>
      </c>
      <c r="C572" s="305">
        <v>9</v>
      </c>
      <c r="D572" s="297" t="s">
        <v>4173</v>
      </c>
      <c r="E572" s="297" t="str">
        <f t="shared" si="24"/>
        <v>Fiélon</v>
      </c>
      <c r="F572" s="297" t="str">
        <f>VLOOKUP(E572,'Types de monstres'!$A$2:$B$17,2,FALSE)</f>
        <v>FIEND</v>
      </c>
      <c r="G572" s="297" t="str">
        <f t="shared" si="25"/>
        <v>yugoloth</v>
      </c>
      <c r="H572" s="297" t="str">
        <f>IF(OR(G572="",G572="toute race"),"",VLOOKUP(G572,'Types de monstres'!$F$2:$G$49,2,FALSE))</f>
        <v>YUGOLOTH</v>
      </c>
      <c r="I572" s="297" t="s">
        <v>4112</v>
      </c>
      <c r="J572" s="302">
        <v>18</v>
      </c>
      <c r="K572" s="302">
        <v>123</v>
      </c>
      <c r="L572" s="297" t="s">
        <v>4092</v>
      </c>
      <c r="M572" s="297" t="s">
        <v>4118</v>
      </c>
      <c r="N572" s="297" t="str">
        <f>IF(M572="sans alignement","",IF(M572="tout alignement", """1_LB"", ""2_NB"", ""3_CB"", ""4_LN"", ""5_NN"", ""6_CN"", ""7_LM"", ""8_NM"", ""9_CM""",IF(M572="tout alignement non bon", """4_LN"", ""5_NN"", ""6_CN"", ""7_LM"", ""8_NM"", ""9_CM""",IF(M572="tout alignement mauvais", """7_LM"", ""8_NM"", ""9_CM""",IF(M572="tout alignement chaotique", """3_CB"", ""6_CN"", ""9_CM""",IF(M572="tout alignement non loyal", """2_NB"", ""3_CB"", ""5_NN"", ""6_CN"", ""8_NM"", ""9_CM""",""""&amp;VLOOKUP(M572,Alignements!$A$2:$B$10,2, FALSE)&amp;""""))))))</f>
        <v>"8_NM"</v>
      </c>
      <c r="O572" s="297"/>
      <c r="P572" t="str">
        <f t="shared" si="26"/>
        <v>"Nycaloth": {
  "Name" : "Nycaloth",
  "VO" : "Nycaloth",
  "Family" : "FIEND",
  "Species" : ["YUGOLOTH"],
  "FP" : "9", 
  "Size" : "G",
  "AC" : 18,
  "HP" : 123, 
  "Speed" : "vol",
  "Alignments" : ["8_NM"],
  "Legendary" : ""}</v>
      </c>
    </row>
    <row r="573" spans="1:16">
      <c r="A573" s="299" t="s">
        <v>5171</v>
      </c>
      <c r="B573" s="298" t="s">
        <v>5172</v>
      </c>
      <c r="C573" s="306">
        <v>5</v>
      </c>
      <c r="D573" s="298" t="s">
        <v>4376</v>
      </c>
      <c r="E573" s="297" t="str">
        <f t="shared" si="24"/>
        <v>Vase</v>
      </c>
      <c r="F573" s="297" t="str">
        <f>VLOOKUP(E573,'Types de monstres'!$A$2:$B$17,2,FALSE)</f>
        <v>MUD</v>
      </c>
      <c r="G573" s="297" t="str">
        <f t="shared" si="25"/>
        <v/>
      </c>
      <c r="H573" s="297" t="str">
        <f>IF(OR(G573="",G573="toute race"),"",VLOOKUP(G573,'Types de monstres'!$F$2:$G$49,2,FALSE))</f>
        <v/>
      </c>
      <c r="I573" s="298" t="s">
        <v>4091</v>
      </c>
      <c r="J573" s="300">
        <v>14</v>
      </c>
      <c r="K573" s="300">
        <v>75</v>
      </c>
      <c r="L573" s="298"/>
      <c r="M573" s="298" t="s">
        <v>4097</v>
      </c>
      <c r="N573" s="297" t="str">
        <f>IF(M573="sans alignement","",IF(M573="tout alignement", """1_LB"", ""2_NB"", ""3_CB"", ""4_LN"", ""5_NN"", ""6_CN"", ""7_LM"", ""8_NM"", ""9_CM""",IF(M573="tout alignement non bon", """4_LN"", ""5_NN"", ""6_CN"", ""7_LM"", ""8_NM"", ""9_CM""",IF(M573="tout alignement mauvais", """7_LM"", ""8_NM"", ""9_CM""",IF(M573="tout alignement chaotique", """3_CB"", ""6_CN"", ""9_CM""",IF(M573="tout alignement non loyal", """2_NB"", ""3_CB"", ""5_NN"", ""6_CN"", ""8_NM"", ""9_CM""",""""&amp;VLOOKUP(M573,Alignements!$A$2:$B$10,2, FALSE)&amp;""""))))))</f>
        <v>"7_LM"</v>
      </c>
      <c r="O573" s="298"/>
      <c r="P573" t="str">
        <f t="shared" si="26"/>
        <v>"Oblex, adulte": {
  "Name" : "Oblex, adulte",
  "VO" : "Adult Oblex",
  "Family" : "MUD",
  "Species" : [""],
  "FP" : "5", 
  "Size" : "M",
  "AC" : 14,
  "HP" : 75, 
  "Speed" : "",
  "Alignments" : ["7_LM"],
  "Legendary" : ""}</v>
      </c>
    </row>
    <row r="574" spans="1:16">
      <c r="A574" s="301" t="s">
        <v>5173</v>
      </c>
      <c r="B574" s="297" t="s">
        <v>5174</v>
      </c>
      <c r="C574" s="305" t="s">
        <v>5618</v>
      </c>
      <c r="D574" s="297" t="s">
        <v>4376</v>
      </c>
      <c r="E574" s="297" t="str">
        <f t="shared" si="24"/>
        <v>Vase</v>
      </c>
      <c r="F574" s="297" t="str">
        <f>VLOOKUP(E574,'Types de monstres'!$A$2:$B$17,2,FALSE)</f>
        <v>MUD</v>
      </c>
      <c r="G574" s="297" t="str">
        <f t="shared" si="25"/>
        <v/>
      </c>
      <c r="H574" s="297" t="str">
        <f>IF(OR(G574="",G574="toute race"),"",VLOOKUP(G574,'Types de monstres'!$F$2:$G$49,2,FALSE))</f>
        <v/>
      </c>
      <c r="I574" s="297" t="s">
        <v>4154</v>
      </c>
      <c r="J574" s="302">
        <v>13</v>
      </c>
      <c r="K574" s="302">
        <v>18</v>
      </c>
      <c r="L574" s="297"/>
      <c r="M574" s="297" t="s">
        <v>4097</v>
      </c>
      <c r="N574" s="297" t="str">
        <f>IF(M574="sans alignement","",IF(M574="tout alignement", """1_LB"", ""2_NB"", ""3_CB"", ""4_LN"", ""5_NN"", ""6_CN"", ""7_LM"", ""8_NM"", ""9_CM""",IF(M574="tout alignement non bon", """4_LN"", ""5_NN"", ""6_CN"", ""7_LM"", ""8_NM"", ""9_CM""",IF(M574="tout alignement mauvais", """7_LM"", ""8_NM"", ""9_CM""",IF(M574="tout alignement chaotique", """3_CB"", ""6_CN"", ""9_CM""",IF(M574="tout alignement non loyal", """2_NB"", ""3_CB"", ""5_NN"", ""6_CN"", ""8_NM"", ""9_CM""",""""&amp;VLOOKUP(M574,Alignements!$A$2:$B$10,2, FALSE)&amp;""""))))))</f>
        <v>"7_LM"</v>
      </c>
      <c r="O574" s="297"/>
      <c r="P574" t="str">
        <f t="shared" si="26"/>
        <v>"Oblex, rejeton": {
  "Name" : "Oblex, rejeton",
  "VO" : "Oblex Spawn",
  "Family" : "MUD",
  "Species" : [""],
  "FP" : "1/4", 
  "Size" : "TP",
  "AC" : 13,
  "HP" : 18, 
  "Speed" : "",
  "Alignments" : ["7_LM"],
  "Legendary" : ""}</v>
      </c>
    </row>
    <row r="575" spans="1:16">
      <c r="A575" s="299" t="s">
        <v>5175</v>
      </c>
      <c r="B575" s="298" t="s">
        <v>5176</v>
      </c>
      <c r="C575" s="306">
        <v>10</v>
      </c>
      <c r="D575" s="298" t="s">
        <v>4376</v>
      </c>
      <c r="E575" s="297" t="str">
        <f t="shared" si="24"/>
        <v>Vase</v>
      </c>
      <c r="F575" s="297" t="str">
        <f>VLOOKUP(E575,'Types de monstres'!$A$2:$B$17,2,FALSE)</f>
        <v>MUD</v>
      </c>
      <c r="G575" s="297" t="str">
        <f t="shared" si="25"/>
        <v/>
      </c>
      <c r="H575" s="297" t="str">
        <f>IF(OR(G575="",G575="toute race"),"",VLOOKUP(G575,'Types de monstres'!$F$2:$G$49,2,FALSE))</f>
        <v/>
      </c>
      <c r="I575" s="298" t="s">
        <v>4149</v>
      </c>
      <c r="J575" s="300">
        <v>16</v>
      </c>
      <c r="K575" s="300">
        <v>115</v>
      </c>
      <c r="L575" s="298"/>
      <c r="M575" s="298" t="s">
        <v>4097</v>
      </c>
      <c r="N575" s="297" t="str">
        <f>IF(M575="sans alignement","",IF(M575="tout alignement", """1_LB"", ""2_NB"", ""3_CB"", ""4_LN"", ""5_NN"", ""6_CN"", ""7_LM"", ""8_NM"", ""9_CM""",IF(M575="tout alignement non bon", """4_LN"", ""5_NN"", ""6_CN"", ""7_LM"", ""8_NM"", ""9_CM""",IF(M575="tout alignement mauvais", """7_LM"", ""8_NM"", ""9_CM""",IF(M575="tout alignement chaotique", """3_CB"", ""6_CN"", ""9_CM""",IF(M575="tout alignement non loyal", """2_NB"", ""3_CB"", ""5_NN"", ""6_CN"", ""8_NM"", ""9_CM""",""""&amp;VLOOKUP(M575,Alignements!$A$2:$B$10,2, FALSE)&amp;""""))))))</f>
        <v>"7_LM"</v>
      </c>
      <c r="O575" s="298"/>
      <c r="P575" t="str">
        <f t="shared" si="26"/>
        <v>"Oblex, vénérable": {
  "Name" : "Oblex, vénérable",
  "VO" : "Elder Oblex",
  "Family" : "MUD",
  "Species" : [""],
  "FP" : "10", 
  "Size" : "TG",
  "AC" : 16,
  "HP" : 115, 
  "Speed" : "",
  "Alignments" : ["7_LM"],
  "Legendary" : ""}</v>
      </c>
    </row>
    <row r="576" spans="1:16">
      <c r="A576" s="61" t="s">
        <v>5177</v>
      </c>
      <c r="B576" s="297" t="s">
        <v>5177</v>
      </c>
      <c r="C576" s="305">
        <v>2</v>
      </c>
      <c r="D576" s="297" t="s">
        <v>2584</v>
      </c>
      <c r="E576" s="297" t="str">
        <f t="shared" si="24"/>
        <v>Géant</v>
      </c>
      <c r="F576" s="297" t="str">
        <f>VLOOKUP(E576,'Types de monstres'!$A$2:$B$17,2,FALSE)</f>
        <v>GIANT</v>
      </c>
      <c r="G576" s="297" t="str">
        <f t="shared" si="25"/>
        <v/>
      </c>
      <c r="H576" s="297" t="str">
        <f>IF(OR(G576="",G576="toute race"),"",VLOOKUP(G576,'Types de monstres'!$F$2:$G$49,2,FALSE))</f>
        <v/>
      </c>
      <c r="I576" s="297" t="s">
        <v>4112</v>
      </c>
      <c r="J576" s="302">
        <v>11</v>
      </c>
      <c r="K576" s="302">
        <v>59</v>
      </c>
      <c r="L576" s="297"/>
      <c r="M576" s="297" t="s">
        <v>4137</v>
      </c>
      <c r="N576" s="297" t="str">
        <f>IF(M576="sans alignement","",IF(M576="tout alignement", """1_LB"", ""2_NB"", ""3_CB"", ""4_LN"", ""5_NN"", ""6_CN"", ""7_LM"", ""8_NM"", ""9_CM""",IF(M576="tout alignement non bon", """4_LN"", ""5_NN"", ""6_CN"", ""7_LM"", ""8_NM"", ""9_CM""",IF(M576="tout alignement mauvais", """7_LM"", ""8_NM"", ""9_CM""",IF(M576="tout alignement chaotique", """3_CB"", ""6_CN"", ""9_CM""",IF(M576="tout alignement non loyal", """2_NB"", ""3_CB"", ""5_NN"", ""6_CN"", ""8_NM"", ""9_CM""",""""&amp;VLOOKUP(M576,Alignements!$A$2:$B$10,2, FALSE)&amp;""""))))))</f>
        <v>"9_CM"</v>
      </c>
      <c r="O576" s="297"/>
      <c r="P576" t="str">
        <f t="shared" si="26"/>
        <v>"Ogre": {
  "Name" : "Ogre",
  "VO" : "Ogre",
  "Family" : "GIANT",
  "Species" : [""],
  "FP" : "2", 
  "Size" : "G",
  "AC" : 11,
  "HP" : 59, 
  "Speed" : "",
  "Alignments" : ["9_CM"],
  "Legendary" : ""}</v>
      </c>
    </row>
    <row r="577" spans="1:16">
      <c r="A577" s="61" t="s">
        <v>5178</v>
      </c>
      <c r="B577" s="298" t="s">
        <v>5179</v>
      </c>
      <c r="C577" s="306">
        <v>2</v>
      </c>
      <c r="D577" s="298" t="s">
        <v>4117</v>
      </c>
      <c r="E577" s="297" t="str">
        <f t="shared" si="24"/>
        <v>Mort-vivant</v>
      </c>
      <c r="F577" s="297" t="str">
        <f>VLOOKUP(E577,'Types de monstres'!$A$2:$B$17,2,FALSE)</f>
        <v>UNDEAD</v>
      </c>
      <c r="G577" s="297" t="str">
        <f t="shared" si="25"/>
        <v/>
      </c>
      <c r="H577" s="297" t="str">
        <f>IF(OR(G577="",G577="toute race"),"",VLOOKUP(G577,'Types de monstres'!$F$2:$G$49,2,FALSE))</f>
        <v/>
      </c>
      <c r="I577" s="298" t="s">
        <v>4112</v>
      </c>
      <c r="J577" s="300">
        <v>8</v>
      </c>
      <c r="K577" s="300">
        <v>85</v>
      </c>
      <c r="L577" s="298"/>
      <c r="M577" s="298" t="s">
        <v>4118</v>
      </c>
      <c r="N577" s="297" t="str">
        <f>IF(M577="sans alignement","",IF(M577="tout alignement", """1_LB"", ""2_NB"", ""3_CB"", ""4_LN"", ""5_NN"", ""6_CN"", ""7_LM"", ""8_NM"", ""9_CM""",IF(M577="tout alignement non bon", """4_LN"", ""5_NN"", ""6_CN"", ""7_LM"", ""8_NM"", ""9_CM""",IF(M577="tout alignement mauvais", """7_LM"", ""8_NM"", ""9_CM""",IF(M577="tout alignement chaotique", """3_CB"", ""6_CN"", ""9_CM""",IF(M577="tout alignement non loyal", """2_NB"", ""3_CB"", ""5_NN"", ""6_CN"", ""8_NM"", ""9_CM""",""""&amp;VLOOKUP(M577,Alignements!$A$2:$B$10,2, FALSE)&amp;""""))))))</f>
        <v>"8_NM"</v>
      </c>
      <c r="O577" s="298"/>
      <c r="P577" t="str">
        <f t="shared" si="26"/>
        <v>"Ogre zombi": {
  "Name" : "Ogre zombi",
  "VO" : "Ogre Zombie",
  "Family" : "UNDEAD",
  "Species" : [""],
  "FP" : "2", 
  "Size" : "G",
  "AC" : 8,
  "HP" : 85, 
  "Speed" : "",
  "Alignments" : ["8_NM"],
  "Legendary" : ""}</v>
      </c>
    </row>
    <row r="578" spans="1:16" ht="21">
      <c r="A578" s="301" t="s">
        <v>5180</v>
      </c>
      <c r="B578" s="297" t="s">
        <v>5181</v>
      </c>
      <c r="C578" s="305">
        <v>3</v>
      </c>
      <c r="D578" s="297" t="s">
        <v>2584</v>
      </c>
      <c r="E578" s="297" t="str">
        <f t="shared" si="24"/>
        <v>Géant</v>
      </c>
      <c r="F578" s="297" t="str">
        <f>VLOOKUP(E578,'Types de monstres'!$A$2:$B$17,2,FALSE)</f>
        <v>GIANT</v>
      </c>
      <c r="G578" s="297" t="str">
        <f t="shared" si="25"/>
        <v/>
      </c>
      <c r="H578" s="297" t="str">
        <f>IF(OR(G578="",G578="toute race"),"",VLOOKUP(G578,'Types de monstres'!$F$2:$G$49,2,FALSE))</f>
        <v/>
      </c>
      <c r="I578" s="297" t="s">
        <v>4112</v>
      </c>
      <c r="J578" s="302">
        <v>11</v>
      </c>
      <c r="K578" s="302">
        <v>59</v>
      </c>
      <c r="L578" s="297"/>
      <c r="M578" s="297" t="s">
        <v>4137</v>
      </c>
      <c r="N578" s="297" t="str">
        <f>IF(M578="sans alignement","",IF(M578="tout alignement", """1_LB"", ""2_NB"", ""3_CB"", ""4_LN"", ""5_NN"", ""6_CN"", ""7_LM"", ""8_NM"", ""9_CM""",IF(M578="tout alignement non bon", """4_LN"", ""5_NN"", ""6_CN"", ""7_LM"", ""8_NM"", ""9_CM""",IF(M578="tout alignement mauvais", """7_LM"", ""8_NM"", ""9_CM""",IF(M578="tout alignement chaotique", """3_CB"", ""6_CN"", ""9_CM""",IF(M578="tout alignement non loyal", """2_NB"", ""3_CB"", ""5_NN"", ""6_CN"", ""8_NM"", ""9_CM""",""""&amp;VLOOKUP(M578,Alignements!$A$2:$B$10,2, FALSE)&amp;""""))))))</f>
        <v>"9_CM"</v>
      </c>
      <c r="O578" s="297"/>
      <c r="P578" t="str">
        <f t="shared" si="26"/>
        <v>"Ogre, brute à chaînes": {
  "Name" : "Ogre, brute à chaînes",
  "VO" : "Ogre Chain Brute",
  "Family" : "GIANT",
  "Species" : [""],
  "FP" : "3", 
  "Size" : "G",
  "AC" : 11,
  "HP" : 59, 
  "Speed" : "",
  "Alignments" : ["9_CM"],
  "Legendary" : ""}</v>
      </c>
    </row>
    <row r="579" spans="1:16" ht="21">
      <c r="A579" s="299" t="s">
        <v>5182</v>
      </c>
      <c r="B579" s="298" t="s">
        <v>5183</v>
      </c>
      <c r="C579" s="306">
        <v>2</v>
      </c>
      <c r="D579" s="298" t="s">
        <v>2584</v>
      </c>
      <c r="E579" s="297" t="str">
        <f t="shared" ref="E579:E642" si="27">IF(ISERROR( FIND("(",D579) ),D579,LEFT(D579, FIND("(",D579)-2))</f>
        <v>Géant</v>
      </c>
      <c r="F579" s="297" t="str">
        <f>VLOOKUP(E579,'Types de monstres'!$A$2:$B$17,2,FALSE)</f>
        <v>GIANT</v>
      </c>
      <c r="G579" s="297" t="str">
        <f t="shared" ref="G579:G642" si="28">IF(ISERROR( FIND("(",D579) ),"",RIGHT(LEFT(D579,LEN(D579)-1), LEN(D579)-FIND("(",D579)-1))</f>
        <v/>
      </c>
      <c r="H579" s="297" t="str">
        <f>IF(OR(G579="",G579="toute race"),"",VLOOKUP(G579,'Types de monstres'!$F$2:$G$49,2,FALSE))</f>
        <v/>
      </c>
      <c r="I579" s="298" t="s">
        <v>4112</v>
      </c>
      <c r="J579" s="300">
        <v>13</v>
      </c>
      <c r="K579" s="300">
        <v>59</v>
      </c>
      <c r="L579" s="298"/>
      <c r="M579" s="298" t="s">
        <v>4137</v>
      </c>
      <c r="N579" s="297" t="str">
        <f>IF(M579="sans alignement","",IF(M579="tout alignement", """1_LB"", ""2_NB"", ""3_CB"", ""4_LN"", ""5_NN"", ""6_CN"", ""7_LM"", ""8_NM"", ""9_CM""",IF(M579="tout alignement non bon", """4_LN"", ""5_NN"", ""6_CN"", ""7_LM"", ""8_NM"", ""9_CM""",IF(M579="tout alignement mauvais", """7_LM"", ""8_NM"", ""9_CM""",IF(M579="tout alignement chaotique", """3_CB"", ""6_CN"", ""9_CM""",IF(M579="tout alignement non loyal", """2_NB"", ""3_CB"", ""5_NN"", ""6_CN"", ""8_NM"", ""9_CM""",""""&amp;VLOOKUP(M579,Alignements!$A$2:$B$10,2, FALSE)&amp;""""))))))</f>
        <v>"9_CM"</v>
      </c>
      <c r="O579" s="298"/>
      <c r="P579" t="str">
        <f t="shared" ref="P579:P642" si="29">""""&amp;A579&amp;""": {
  ""Name"" : """&amp;A579&amp;""",
  ""VO"" : """&amp;B579&amp;""",
  ""Family"" : """&amp;F579&amp;""",
  ""Species"" : ["""&amp;SUBSTITUTE(H579,", ",""", """)&amp;"""],
  ""FP"" : """&amp;SUBSTITUTE(C579,"""","")&amp;""", 
  ""Size"" : """&amp;I579&amp;""",
  ""AC"" : "&amp;J579&amp;",
  ""HP"" : "&amp;K579&amp;", 
  ""Speed"" : """&amp;L579&amp;""",
  ""Alignments"" : ["&amp;N579&amp;"],
  ""Legendary"" : """&amp;O579&amp;"""}"</f>
        <v>"Ogre, lanceur de piques": {
  "Name" : "Ogre, lanceur de piques",
  "VO" : "Ogre Bolt Launcher",
  "Family" : "GIANT",
  "Species" : [""],
  "FP" : "2", 
  "Size" : "G",
  "AC" : 13,
  "HP" : 59, 
  "Speed" : "",
  "Alignments" : ["9_CM"],
  "Legendary" : ""}</v>
      </c>
    </row>
    <row r="580" spans="1:16" ht="21">
      <c r="A580" s="301" t="s">
        <v>5184</v>
      </c>
      <c r="B580" s="297" t="s">
        <v>5185</v>
      </c>
      <c r="C580" s="305">
        <v>4</v>
      </c>
      <c r="D580" s="297" t="s">
        <v>2584</v>
      </c>
      <c r="E580" s="297" t="str">
        <f t="shared" si="27"/>
        <v>Géant</v>
      </c>
      <c r="F580" s="297" t="str">
        <f>VLOOKUP(E580,'Types de monstres'!$A$2:$B$17,2,FALSE)</f>
        <v>GIANT</v>
      </c>
      <c r="G580" s="297" t="str">
        <f t="shared" si="28"/>
        <v/>
      </c>
      <c r="H580" s="297" t="str">
        <f>IF(OR(G580="",G580="toute race"),"",VLOOKUP(G580,'Types de monstres'!$F$2:$G$49,2,FALSE))</f>
        <v/>
      </c>
      <c r="I580" s="297" t="s">
        <v>4112</v>
      </c>
      <c r="J580" s="302">
        <v>14</v>
      </c>
      <c r="K580" s="302">
        <v>59</v>
      </c>
      <c r="L580" s="297"/>
      <c r="M580" s="297" t="s">
        <v>4137</v>
      </c>
      <c r="N580" s="297" t="str">
        <f>IF(M580="sans alignement","",IF(M580="tout alignement", """1_LB"", ""2_NB"", ""3_CB"", ""4_LN"", ""5_NN"", ""6_CN"", ""7_LM"", ""8_NM"", ""9_CM""",IF(M580="tout alignement non bon", """4_LN"", ""5_NN"", ""6_CN"", ""7_LM"", ""8_NM"", ""9_CM""",IF(M580="tout alignement mauvais", """7_LM"", ""8_NM"", ""9_CM""",IF(M580="tout alignement chaotique", """3_CB"", ""6_CN"", ""9_CM""",IF(M580="tout alignement non loyal", """2_NB"", ""3_CB"", ""5_NN"", ""6_CN"", ""8_NM"", ""9_CM""",""""&amp;VLOOKUP(M580,Alignements!$A$2:$B$10,2, FALSE)&amp;""""))))))</f>
        <v>"9_CM"</v>
      </c>
      <c r="O580" s="297"/>
      <c r="P580" t="str">
        <f t="shared" si="29"/>
        <v>"Ogre, porte-bélier": {
  "Name" : "Ogre, porte-bélier",
  "VO" : "Ogre Battering Ram",
  "Family" : "GIANT",
  "Species" : [""],
  "FP" : "4", 
  "Size" : "G",
  "AC" : 14,
  "HP" : 59, 
  "Speed" : "",
  "Alignments" : ["9_CM"],
  "Legendary" : ""}</v>
      </c>
    </row>
    <row r="581" spans="1:16" ht="21">
      <c r="A581" s="299" t="s">
        <v>5186</v>
      </c>
      <c r="B581" s="298" t="s">
        <v>5187</v>
      </c>
      <c r="C581" s="306">
        <v>2</v>
      </c>
      <c r="D581" s="298" t="s">
        <v>2584</v>
      </c>
      <c r="E581" s="297" t="str">
        <f t="shared" si="27"/>
        <v>Géant</v>
      </c>
      <c r="F581" s="297" t="str">
        <f>VLOOKUP(E581,'Types de monstres'!$A$2:$B$17,2,FALSE)</f>
        <v>GIANT</v>
      </c>
      <c r="G581" s="297" t="str">
        <f t="shared" si="28"/>
        <v/>
      </c>
      <c r="H581" s="297" t="str">
        <f>IF(OR(G581="",G581="toute race"),"",VLOOKUP(G581,'Types de monstres'!$F$2:$G$49,2,FALSE))</f>
        <v/>
      </c>
      <c r="I581" s="298" t="s">
        <v>4112</v>
      </c>
      <c r="J581" s="300">
        <v>13</v>
      </c>
      <c r="K581" s="300">
        <v>59</v>
      </c>
      <c r="L581" s="298"/>
      <c r="M581" s="298" t="s">
        <v>4137</v>
      </c>
      <c r="N581" s="297" t="str">
        <f>IF(M581="sans alignement","",IF(M581="tout alignement", """1_LB"", ""2_NB"", ""3_CB"", ""4_LN"", ""5_NN"", ""6_CN"", ""7_LM"", ""8_NM"", ""9_CM""",IF(M581="tout alignement non bon", """4_LN"", ""5_NN"", ""6_CN"", ""7_LM"", ""8_NM"", ""9_CM""",IF(M581="tout alignement mauvais", """7_LM"", ""8_NM"", ""9_CM""",IF(M581="tout alignement chaotique", """3_CB"", ""6_CN"", ""9_CM""",IF(M581="tout alignement non loyal", """2_NB"", ""3_CB"", ""5_NN"", ""6_CN"", ""8_NM"", ""9_CM""",""""&amp;VLOOKUP(M581,Alignements!$A$2:$B$10,2, FALSE)&amp;""""))))))</f>
        <v>"9_CM"</v>
      </c>
      <c r="O581" s="298"/>
      <c r="P581" t="str">
        <f t="shared" si="29"/>
        <v>"Ogre, porte-palanquin": {
  "Name" : "Ogre, porte-palanquin",
  "VO" : "Ogre Howdah",
  "Family" : "GIANT",
  "Species" : [""],
  "FP" : "2", 
  "Size" : "G",
  "AC" : 13,
  "HP" : 59, 
  "Speed" : "",
  "Alignments" : ["9_CM"],
  "Legendary" : ""}</v>
      </c>
    </row>
    <row r="582" spans="1:16">
      <c r="A582" s="301" t="s">
        <v>5188</v>
      </c>
      <c r="B582" s="297" t="s">
        <v>5188</v>
      </c>
      <c r="C582" s="305">
        <v>12</v>
      </c>
      <c r="D582" s="297" t="s">
        <v>4173</v>
      </c>
      <c r="E582" s="297" t="str">
        <f t="shared" si="27"/>
        <v>Fiélon</v>
      </c>
      <c r="F582" s="297" t="str">
        <f>VLOOKUP(E582,'Types de monstres'!$A$2:$B$17,2,FALSE)</f>
        <v>FIEND</v>
      </c>
      <c r="G582" s="297" t="str">
        <f t="shared" si="28"/>
        <v>yugoloth</v>
      </c>
      <c r="H582" s="297" t="str">
        <f>IF(OR(G582="",G582="toute race"),"",VLOOKUP(G582,'Types de monstres'!$F$2:$G$49,2,FALSE))</f>
        <v>YUGOLOTH</v>
      </c>
      <c r="I582" s="297" t="s">
        <v>4091</v>
      </c>
      <c r="J582" s="302">
        <v>17</v>
      </c>
      <c r="K582" s="302">
        <v>126</v>
      </c>
      <c r="L582" s="297"/>
      <c r="M582" s="297" t="s">
        <v>4118</v>
      </c>
      <c r="N582" s="297" t="str">
        <f>IF(M582="sans alignement","",IF(M582="tout alignement", """1_LB"", ""2_NB"", ""3_CB"", ""4_LN"", ""5_NN"", ""6_CN"", ""7_LM"", ""8_NM"", ""9_CM""",IF(M582="tout alignement non bon", """4_LN"", ""5_NN"", ""6_CN"", ""7_LM"", ""8_NM"", ""9_CM""",IF(M582="tout alignement mauvais", """7_LM"", ""8_NM"", ""9_CM""",IF(M582="tout alignement chaotique", """3_CB"", ""6_CN"", ""9_CM""",IF(M582="tout alignement non loyal", """2_NB"", ""3_CB"", ""5_NN"", ""6_CN"", ""8_NM"", ""9_CM""",""""&amp;VLOOKUP(M582,Alignements!$A$2:$B$10,2, FALSE)&amp;""""))))))</f>
        <v>"8_NM"</v>
      </c>
      <c r="O582" s="297"/>
      <c r="P582" t="str">
        <f t="shared" si="29"/>
        <v>"Oinoloth": {
  "Name" : "Oinoloth",
  "VO" : "Oinoloth",
  "Family" : "FIEND",
  "Species" : ["YUGOLOTH"],
  "FP" : "12", 
  "Size" : "M",
  "AC" : 17,
  "HP" : 126, 
  "Speed" : "",
  "Alignments" : ["8_NM"],
  "Legendary" : ""}</v>
      </c>
    </row>
    <row r="583" spans="1:16">
      <c r="A583" s="61" t="s">
        <v>5189</v>
      </c>
      <c r="B583" s="298" t="s">
        <v>5190</v>
      </c>
      <c r="C583" s="306" t="s">
        <v>5620</v>
      </c>
      <c r="D583" s="298" t="s">
        <v>4117</v>
      </c>
      <c r="E583" s="297" t="str">
        <f t="shared" si="27"/>
        <v>Mort-vivant</v>
      </c>
      <c r="F583" s="297" t="str">
        <f>VLOOKUP(E583,'Types de monstres'!$A$2:$B$17,2,FALSE)</f>
        <v>UNDEAD</v>
      </c>
      <c r="G583" s="297" t="str">
        <f t="shared" si="28"/>
        <v/>
      </c>
      <c r="H583" s="297" t="str">
        <f>IF(OR(G583="",G583="toute race"),"",VLOOKUP(G583,'Types de monstres'!$F$2:$G$49,2,FALSE))</f>
        <v/>
      </c>
      <c r="I583" s="298" t="s">
        <v>4091</v>
      </c>
      <c r="J583" s="300">
        <v>12</v>
      </c>
      <c r="K583" s="300">
        <v>16</v>
      </c>
      <c r="L583" s="298"/>
      <c r="M583" s="298" t="s">
        <v>4137</v>
      </c>
      <c r="N583" s="297" t="str">
        <f>IF(M583="sans alignement","",IF(M583="tout alignement", """1_LB"", ""2_NB"", ""3_CB"", ""4_LN"", ""5_NN"", ""6_CN"", ""7_LM"", ""8_NM"", ""9_CM""",IF(M583="tout alignement non bon", """4_LN"", ""5_NN"", ""6_CN"", ""7_LM"", ""8_NM"", ""9_CM""",IF(M583="tout alignement mauvais", """7_LM"", ""8_NM"", ""9_CM""",IF(M583="tout alignement chaotique", """3_CB"", ""6_CN"", ""9_CM""",IF(M583="tout alignement non loyal", """2_NB"", ""3_CB"", ""5_NN"", ""6_CN"", ""8_NM"", ""9_CM""",""""&amp;VLOOKUP(M583,Alignements!$A$2:$B$10,2, FALSE)&amp;""""))))))</f>
        <v>"9_CM"</v>
      </c>
      <c r="O583" s="298"/>
      <c r="P583" t="str">
        <f t="shared" si="29"/>
        <v>"Ombre": {
  "Name" : "Ombre",
  "VO" : "Shadow",
  "Family" : "UNDEAD",
  "Species" : [""],
  "FP" : "1/2", 
  "Size" : "M",
  "AC" : 12,
  "HP" : 16, 
  "Speed" : "",
  "Alignments" : ["9_CM"],
  "Legendary" : ""}</v>
      </c>
    </row>
    <row r="584" spans="1:16">
      <c r="A584" s="61" t="s">
        <v>5191</v>
      </c>
      <c r="B584" s="297" t="s">
        <v>5192</v>
      </c>
      <c r="C584" s="305">
        <v>1</v>
      </c>
      <c r="D584" s="297" t="s">
        <v>4117</v>
      </c>
      <c r="E584" s="297" t="str">
        <f t="shared" si="27"/>
        <v>Mort-vivant</v>
      </c>
      <c r="F584" s="297" t="str">
        <f>VLOOKUP(E584,'Types de monstres'!$A$2:$B$17,2,FALSE)</f>
        <v>UNDEAD</v>
      </c>
      <c r="G584" s="297" t="str">
        <f t="shared" si="28"/>
        <v/>
      </c>
      <c r="H584" s="297" t="str">
        <f>IF(OR(G584="",G584="toute race"),"",VLOOKUP(G584,'Types de monstres'!$F$2:$G$49,2,FALSE))</f>
        <v/>
      </c>
      <c r="I584" s="297" t="s">
        <v>4091</v>
      </c>
      <c r="J584" s="302">
        <v>13</v>
      </c>
      <c r="K584" s="302">
        <v>32</v>
      </c>
      <c r="L584" s="297"/>
      <c r="M584" s="297" t="s">
        <v>4137</v>
      </c>
      <c r="N584" s="297" t="str">
        <f>IF(M584="sans alignement","",IF(M584="tout alignement", """1_LB"", ""2_NB"", ""3_CB"", ""4_LN"", ""5_NN"", ""6_CN"", ""7_LM"", ""8_NM"", ""9_CM""",IF(M584="tout alignement non bon", """4_LN"", ""5_NN"", ""6_CN"", ""7_LM"", ""8_NM"", ""9_CM""",IF(M584="tout alignement mauvais", """7_LM"", ""8_NM"", ""9_CM""",IF(M584="tout alignement chaotique", """3_CB"", ""6_CN"", ""9_CM""",IF(M584="tout alignement non loyal", """2_NB"", ""3_CB"", ""5_NN"", ""6_CN"", ""8_NM"", ""9_CM""",""""&amp;VLOOKUP(M584,Alignements!$A$2:$B$10,2, FALSE)&amp;""""))))))</f>
        <v>"9_CM"</v>
      </c>
      <c r="O584" s="297"/>
      <c r="P584" t="str">
        <f t="shared" si="29"/>
        <v>"Ombre, ancienne": {
  "Name" : "Ombre, ancienne",
  "VO" : "Ancient Shadow",
  "Family" : "UNDEAD",
  "Species" : [""],
  "FP" : "1", 
  "Size" : "M",
  "AC" : 13,
  "HP" : 32, 
  "Speed" : "",
  "Alignments" : ["9_CM"],
  "Legendary" : ""}</v>
      </c>
    </row>
    <row r="585" spans="1:16">
      <c r="A585" s="61" t="s">
        <v>5193</v>
      </c>
      <c r="B585" s="298" t="s">
        <v>5194</v>
      </c>
      <c r="C585" s="306">
        <v>2</v>
      </c>
      <c r="D585" s="298" t="s">
        <v>4117</v>
      </c>
      <c r="E585" s="297" t="str">
        <f t="shared" si="27"/>
        <v>Mort-vivant</v>
      </c>
      <c r="F585" s="297" t="str">
        <f>VLOOKUP(E585,'Types de monstres'!$A$2:$B$17,2,FALSE)</f>
        <v>UNDEAD</v>
      </c>
      <c r="G585" s="297" t="str">
        <f t="shared" si="28"/>
        <v/>
      </c>
      <c r="H585" s="297" t="str">
        <f>IF(OR(G585="",G585="toute race"),"",VLOOKUP(G585,'Types de monstres'!$F$2:$G$49,2,FALSE))</f>
        <v/>
      </c>
      <c r="I585" s="298" t="s">
        <v>4091</v>
      </c>
      <c r="J585" s="300">
        <v>13</v>
      </c>
      <c r="K585" s="300">
        <v>27</v>
      </c>
      <c r="L585" s="298"/>
      <c r="M585" s="298" t="s">
        <v>4137</v>
      </c>
      <c r="N585" s="297" t="str">
        <f>IF(M585="sans alignement","",IF(M585="tout alignement", """1_LB"", ""2_NB"", ""3_CB"", ""4_LN"", ""5_NN"", ""6_CN"", ""7_LM"", ""8_NM"", ""9_CM""",IF(M585="tout alignement non bon", """4_LN"", ""5_NN"", ""6_CN"", ""7_LM"", ""8_NM"", ""9_CM""",IF(M585="tout alignement mauvais", """7_LM"", ""8_NM"", ""9_CM""",IF(M585="tout alignement chaotique", """3_CB"", ""6_CN"", ""9_CM""",IF(M585="tout alignement non loyal", """2_NB"", ""3_CB"", ""5_NN"", ""6_CN"", ""8_NM"", ""9_CM""",""""&amp;VLOOKUP(M585,Alignements!$A$2:$B$10,2, FALSE)&amp;""""))))))</f>
        <v>"9_CM"</v>
      </c>
      <c r="O585" s="298"/>
      <c r="P585" t="str">
        <f t="shared" si="29"/>
        <v>"Ombre, vénérable": {
  "Name" : "Ombre, vénérable",
  "VO" : "Venerable Shadow",
  "Family" : "UNDEAD",
  "Species" : [""],
  "FP" : "2", 
  "Size" : "M",
  "AC" : 13,
  "HP" : 27, 
  "Speed" : "",
  "Alignments" : ["9_CM"],
  "Legendary" : ""}</v>
      </c>
    </row>
    <row r="586" spans="1:16">
      <c r="A586" s="61" t="s">
        <v>5195</v>
      </c>
      <c r="B586" s="297" t="s">
        <v>5195</v>
      </c>
      <c r="C586" s="305">
        <v>7</v>
      </c>
      <c r="D586" s="297" t="s">
        <v>2584</v>
      </c>
      <c r="E586" s="297" t="str">
        <f t="shared" si="27"/>
        <v>Géant</v>
      </c>
      <c r="F586" s="297" t="str">
        <f>VLOOKUP(E586,'Types de monstres'!$A$2:$B$17,2,FALSE)</f>
        <v>GIANT</v>
      </c>
      <c r="G586" s="297" t="str">
        <f t="shared" si="28"/>
        <v/>
      </c>
      <c r="H586" s="297" t="str">
        <f>IF(OR(G586="",G586="toute race"),"",VLOOKUP(G586,'Types de monstres'!$F$2:$G$49,2,FALSE))</f>
        <v/>
      </c>
      <c r="I586" s="297" t="s">
        <v>4112</v>
      </c>
      <c r="J586" s="302">
        <v>16</v>
      </c>
      <c r="K586" s="302">
        <v>110</v>
      </c>
      <c r="L586" s="297" t="s">
        <v>4092</v>
      </c>
      <c r="M586" s="297" t="s">
        <v>4097</v>
      </c>
      <c r="N586" s="297" t="str">
        <f>IF(M586="sans alignement","",IF(M586="tout alignement", """1_LB"", ""2_NB"", ""3_CB"", ""4_LN"", ""5_NN"", ""6_CN"", ""7_LM"", ""8_NM"", ""9_CM""",IF(M586="tout alignement non bon", """4_LN"", ""5_NN"", ""6_CN"", ""7_LM"", ""8_NM"", ""9_CM""",IF(M586="tout alignement mauvais", """7_LM"", ""8_NM"", ""9_CM""",IF(M586="tout alignement chaotique", """3_CB"", ""6_CN"", ""9_CM""",IF(M586="tout alignement non loyal", """2_NB"", ""3_CB"", ""5_NN"", ""6_CN"", ""8_NM"", ""9_CM""",""""&amp;VLOOKUP(M586,Alignements!$A$2:$B$10,2, FALSE)&amp;""""))))))</f>
        <v>"7_LM"</v>
      </c>
      <c r="O586" s="297"/>
      <c r="P586" t="str">
        <f t="shared" si="29"/>
        <v>"Oni": {
  "Name" : "Oni",
  "VO" : "Oni",
  "Family" : "GIANT",
  "Species" : [""],
  "FP" : "7", 
  "Size" : "G",
  "AC" : 16,
  "HP" : 110, 
  "Speed" : "vol",
  "Alignments" : ["7_LM"],
  "Legendary" : ""}</v>
      </c>
    </row>
    <row r="587" spans="1:16">
      <c r="A587" s="61" t="s">
        <v>5196</v>
      </c>
      <c r="B587" s="298" t="s">
        <v>5196</v>
      </c>
      <c r="C587" s="306">
        <v>26</v>
      </c>
      <c r="D587" s="298" t="s">
        <v>4136</v>
      </c>
      <c r="E587" s="297" t="str">
        <f t="shared" si="27"/>
        <v>Fiélon</v>
      </c>
      <c r="F587" s="297" t="str">
        <f>VLOOKUP(E587,'Types de monstres'!$A$2:$B$17,2,FALSE)</f>
        <v>FIEND</v>
      </c>
      <c r="G587" s="297" t="str">
        <f t="shared" si="28"/>
        <v>démon</v>
      </c>
      <c r="H587" s="297" t="str">
        <f>IF(OR(G587="",G587="toute race"),"",VLOOKUP(G587,'Types de monstres'!$F$2:$G$49,2,FALSE))</f>
        <v>DAEMON</v>
      </c>
      <c r="I587" s="298" t="s">
        <v>4149</v>
      </c>
      <c r="J587" s="300">
        <v>17</v>
      </c>
      <c r="K587" s="300">
        <v>405</v>
      </c>
      <c r="L587" s="298" t="s">
        <v>4092</v>
      </c>
      <c r="M587" s="298" t="s">
        <v>4137</v>
      </c>
      <c r="N587" s="297" t="str">
        <f>IF(M587="sans alignement","",IF(M587="tout alignement", """1_LB"", ""2_NB"", ""3_CB"", ""4_LN"", ""5_NN"", ""6_CN"", ""7_LM"", ""8_NM"", ""9_CM""",IF(M587="tout alignement non bon", """4_LN"", ""5_NN"", ""6_CN"", ""7_LM"", ""8_NM"", ""9_CM""",IF(M587="tout alignement mauvais", """7_LM"", ""8_NM"", ""9_CM""",IF(M587="tout alignement chaotique", """3_CB"", ""6_CN"", ""9_CM""",IF(M587="tout alignement non loyal", """2_NB"", ""3_CB"", ""5_NN"", ""6_CN"", ""8_NM"", ""9_CM""",""""&amp;VLOOKUP(M587,Alignements!$A$2:$B$10,2, FALSE)&amp;""""))))))</f>
        <v>"9_CM"</v>
      </c>
      <c r="O587" s="298" t="s">
        <v>4114</v>
      </c>
      <c r="P587" t="str">
        <f t="shared" si="29"/>
        <v>"Orcus": {
  "Name" : "Orcus",
  "VO" : "Orcus",
  "Family" : "FIEND",
  "Species" : ["DAEMON"],
  "FP" : "26", 
  "Size" : "TG",
  "AC" : 17,
  "HP" : 405, 
  "Speed" : "vol",
  "Alignments" : ["9_CM"],
  "Legendary" : "Légendaire"}</v>
      </c>
    </row>
    <row r="588" spans="1:16">
      <c r="A588" s="61" t="s">
        <v>5197</v>
      </c>
      <c r="B588" s="297" t="s">
        <v>5197</v>
      </c>
      <c r="C588" s="305">
        <v>2</v>
      </c>
      <c r="D588" s="297" t="s">
        <v>5198</v>
      </c>
      <c r="E588" s="297" t="str">
        <f t="shared" si="27"/>
        <v>Humanoïde</v>
      </c>
      <c r="F588" s="297" t="str">
        <f>VLOOKUP(E588,'Types de monstres'!$A$2:$B$17,2,FALSE)</f>
        <v>HUMANOID</v>
      </c>
      <c r="G588" s="297" t="str">
        <f t="shared" si="28"/>
        <v>orque</v>
      </c>
      <c r="H588" s="297" t="str">
        <f>IF(OR(G588="",G588="toute race"),"",VLOOKUP(G588,'Types de monstres'!$F$2:$G$49,2,FALSE))</f>
        <v>ORC</v>
      </c>
      <c r="I588" s="297" t="s">
        <v>4091</v>
      </c>
      <c r="J588" s="302">
        <v>18</v>
      </c>
      <c r="K588" s="302">
        <v>42</v>
      </c>
      <c r="L588" s="297"/>
      <c r="M588" s="297" t="s">
        <v>4137</v>
      </c>
      <c r="N588" s="297" t="str">
        <f>IF(M588="sans alignement","",IF(M588="tout alignement", """1_LB"", ""2_NB"", ""3_CB"", ""4_LN"", ""5_NN"", ""6_CN"", ""7_LM"", ""8_NM"", ""9_CM""",IF(M588="tout alignement non bon", """4_LN"", ""5_NN"", ""6_CN"", ""7_LM"", ""8_NM"", ""9_CM""",IF(M588="tout alignement mauvais", """7_LM"", ""8_NM"", ""9_CM""",IF(M588="tout alignement chaotique", """3_CB"", ""6_CN"", ""9_CM""",IF(M588="tout alignement non loyal", """2_NB"", ""3_CB"", ""5_NN"", ""6_CN"", ""8_NM"", ""9_CM""",""""&amp;VLOOKUP(M588,Alignements!$A$2:$B$10,2, FALSE)&amp;""""))))))</f>
        <v>"9_CM"</v>
      </c>
      <c r="O588" s="297"/>
      <c r="P588" t="str">
        <f t="shared" si="29"/>
        <v>"Orog": {
  "Name" : "Orog",
  "VO" : "Orog",
  "Family" : "HUMANOID",
  "Species" : ["ORC"],
  "FP" : "2", 
  "Size" : "M",
  "AC" : 18,
  "HP" : 42, 
  "Speed" : "",
  "Alignments" : ["9_CM"],
  "Legendary" : ""}</v>
      </c>
    </row>
    <row r="589" spans="1:16">
      <c r="A589" s="61" t="s">
        <v>2591</v>
      </c>
      <c r="B589" s="298" t="s">
        <v>5199</v>
      </c>
      <c r="C589" s="306" t="s">
        <v>5620</v>
      </c>
      <c r="D589" s="298" t="s">
        <v>5198</v>
      </c>
      <c r="E589" s="297" t="str">
        <f t="shared" si="27"/>
        <v>Humanoïde</v>
      </c>
      <c r="F589" s="297" t="str">
        <f>VLOOKUP(E589,'Types de monstres'!$A$2:$B$17,2,FALSE)</f>
        <v>HUMANOID</v>
      </c>
      <c r="G589" s="297" t="str">
        <f t="shared" si="28"/>
        <v>orque</v>
      </c>
      <c r="H589" s="297" t="str">
        <f>IF(OR(G589="",G589="toute race"),"",VLOOKUP(G589,'Types de monstres'!$F$2:$G$49,2,FALSE))</f>
        <v>ORC</v>
      </c>
      <c r="I589" s="298" t="s">
        <v>4091</v>
      </c>
      <c r="J589" s="300">
        <v>13</v>
      </c>
      <c r="K589" s="300">
        <v>15</v>
      </c>
      <c r="L589" s="298"/>
      <c r="M589" s="298" t="s">
        <v>4137</v>
      </c>
      <c r="N589" s="297" t="str">
        <f>IF(M589="sans alignement","",IF(M589="tout alignement", """1_LB"", ""2_NB"", ""3_CB"", ""4_LN"", ""5_NN"", ""6_CN"", ""7_LM"", ""8_NM"", ""9_CM""",IF(M589="tout alignement non bon", """4_LN"", ""5_NN"", ""6_CN"", ""7_LM"", ""8_NM"", ""9_CM""",IF(M589="tout alignement mauvais", """7_LM"", ""8_NM"", ""9_CM""",IF(M589="tout alignement chaotique", """3_CB"", ""6_CN"", ""9_CM""",IF(M589="tout alignement non loyal", """2_NB"", ""3_CB"", ""5_NN"", ""6_CN"", ""8_NM"", ""9_CM""",""""&amp;VLOOKUP(M589,Alignements!$A$2:$B$10,2, FALSE)&amp;""""))))))</f>
        <v>"9_CM"</v>
      </c>
      <c r="O589" s="298"/>
      <c r="P589" t="str">
        <f t="shared" si="29"/>
        <v>"Orque": {
  "Name" : "Orque",
  "VO" : "Orc",
  "Family" : "HUMANOID",
  "Species" : ["ORC"],
  "FP" : "1/2", 
  "Size" : "M",
  "AC" : 13,
  "HP" : 15, 
  "Speed" : "",
  "Alignments" : ["9_CM"],
  "Legendary" : ""}</v>
      </c>
    </row>
    <row r="590" spans="1:16">
      <c r="A590" s="61" t="s">
        <v>5200</v>
      </c>
      <c r="B590" s="297" t="s">
        <v>5201</v>
      </c>
      <c r="C590" s="305">
        <v>4</v>
      </c>
      <c r="D590" s="297" t="s">
        <v>5198</v>
      </c>
      <c r="E590" s="297" t="str">
        <f t="shared" si="27"/>
        <v>Humanoïde</v>
      </c>
      <c r="F590" s="297" t="str">
        <f>VLOOKUP(E590,'Types de monstres'!$A$2:$B$17,2,FALSE)</f>
        <v>HUMANOID</v>
      </c>
      <c r="G590" s="297" t="str">
        <f t="shared" si="28"/>
        <v>orque</v>
      </c>
      <c r="H590" s="297" t="str">
        <f>IF(OR(G590="",G590="toute race"),"",VLOOKUP(G590,'Types de monstres'!$F$2:$G$49,2,FALSE))</f>
        <v>ORC</v>
      </c>
      <c r="I590" s="297" t="s">
        <v>4091</v>
      </c>
      <c r="J590" s="302">
        <v>16</v>
      </c>
      <c r="K590" s="302">
        <v>93</v>
      </c>
      <c r="L590" s="297"/>
      <c r="M590" s="297" t="s">
        <v>4137</v>
      </c>
      <c r="N590" s="297" t="str">
        <f>IF(M590="sans alignement","",IF(M590="tout alignement", """1_LB"", ""2_NB"", ""3_CB"", ""4_LN"", ""5_NN"", ""6_CN"", ""7_LM"", ""8_NM"", ""9_CM""",IF(M590="tout alignement non bon", """4_LN"", ""5_NN"", ""6_CN"", ""7_LM"", ""8_NM"", ""9_CM""",IF(M590="tout alignement mauvais", """7_LM"", ""8_NM"", ""9_CM""",IF(M590="tout alignement chaotique", """3_CB"", ""6_CN"", ""9_CM""",IF(M590="tout alignement non loyal", """2_NB"", ""3_CB"", ""5_NN"", ""6_CN"", ""8_NM"", ""9_CM""",""""&amp;VLOOKUP(M590,Alignements!$A$2:$B$10,2, FALSE)&amp;""""))))))</f>
        <v>"9_CM"</v>
      </c>
      <c r="O590" s="297"/>
      <c r="P590" t="str">
        <f t="shared" si="29"/>
        <v>"Orque, chef de guerre": {
  "Name" : "Orque, chef de guerre",
  "VO" : "Orc War Chief",
  "Family" : "HUMANOID",
  "Species" : ["ORC"],
  "FP" : "4", 
  "Size" : "M",
  "AC" : 16,
  "HP" : 93, 
  "Speed" : "",
  "Alignments" : ["9_CM"],
  "Legendary" : ""}</v>
      </c>
    </row>
    <row r="591" spans="1:16" ht="21">
      <c r="A591" s="299" t="s">
        <v>5202</v>
      </c>
      <c r="B591" s="298" t="s">
        <v>5203</v>
      </c>
      <c r="C591" s="306">
        <v>3</v>
      </c>
      <c r="D591" s="298" t="s">
        <v>5198</v>
      </c>
      <c r="E591" s="297" t="str">
        <f t="shared" si="27"/>
        <v>Humanoïde</v>
      </c>
      <c r="F591" s="297" t="str">
        <f>VLOOKUP(E591,'Types de monstres'!$A$2:$B$17,2,FALSE)</f>
        <v>HUMANOID</v>
      </c>
      <c r="G591" s="297" t="str">
        <f t="shared" si="28"/>
        <v>orque</v>
      </c>
      <c r="H591" s="297" t="str">
        <f>IF(OR(G591="",G591="toute race"),"",VLOOKUP(G591,'Types de monstres'!$F$2:$G$49,2,FALSE))</f>
        <v>ORC</v>
      </c>
      <c r="I591" s="298" t="s">
        <v>4091</v>
      </c>
      <c r="J591" s="300">
        <v>15</v>
      </c>
      <c r="K591" s="300">
        <v>52</v>
      </c>
      <c r="L591" s="298"/>
      <c r="M591" s="298" t="s">
        <v>4137</v>
      </c>
      <c r="N591" s="297" t="str">
        <f>IF(M591="sans alignement","",IF(M591="tout alignement", """1_LB"", ""2_NB"", ""3_CB"", ""4_LN"", ""5_NN"", ""6_CN"", ""7_LM"", ""8_NM"", ""9_CM""",IF(M591="tout alignement non bon", """4_LN"", ""5_NN"", ""6_CN"", ""7_LM"", ""8_NM"", ""9_CM""",IF(M591="tout alignement mauvais", """7_LM"", ""8_NM"", ""9_CM""",IF(M591="tout alignement chaotique", """3_CB"", ""6_CN"", ""9_CM""",IF(M591="tout alignement non loyal", """2_NB"", ""3_CB"", ""5_NN"", ""6_CN"", ""8_NM"", ""9_CM""",""""&amp;VLOOKUP(M591,Alignements!$A$2:$B$10,2, FALSE)&amp;""""))))))</f>
        <v>"9_CM"</v>
      </c>
      <c r="O591" s="298"/>
      <c r="P591" t="str">
        <f t="shared" si="29"/>
        <v>"Orque, croc rouge de Shargaas": {
  "Name" : "Orque, croc rouge de Shargaas",
  "VO" : "Orc Red Fang of Shargaas",
  "Family" : "HUMANOID",
  "Species" : ["ORC"],
  "FP" : "3", 
  "Size" : "M",
  "AC" : 15,
  "HP" : 52, 
  "Speed" : "",
  "Alignments" : ["9_CM"],
  "Legendary" : ""}</v>
      </c>
    </row>
    <row r="592" spans="1:16" ht="21">
      <c r="A592" s="301" t="s">
        <v>5204</v>
      </c>
      <c r="B592" s="297" t="s">
        <v>5205</v>
      </c>
      <c r="C592" s="305">
        <v>2</v>
      </c>
      <c r="D592" s="297" t="s">
        <v>5198</v>
      </c>
      <c r="E592" s="297" t="str">
        <f t="shared" si="27"/>
        <v>Humanoïde</v>
      </c>
      <c r="F592" s="297" t="str">
        <f>VLOOKUP(E592,'Types de monstres'!$A$2:$B$17,2,FALSE)</f>
        <v>HUMANOID</v>
      </c>
      <c r="G592" s="297" t="str">
        <f t="shared" si="28"/>
        <v>orque</v>
      </c>
      <c r="H592" s="297" t="str">
        <f>IF(OR(G592="",G592="toute race"),"",VLOOKUP(G592,'Types de monstres'!$F$2:$G$49,2,FALSE))</f>
        <v>ORC</v>
      </c>
      <c r="I592" s="297" t="s">
        <v>4091</v>
      </c>
      <c r="J592" s="302">
        <v>14</v>
      </c>
      <c r="K592" s="302">
        <v>45</v>
      </c>
      <c r="L592" s="297"/>
      <c r="M592" s="297" t="s">
        <v>4137</v>
      </c>
      <c r="N592" s="297" t="str">
        <f>IF(M592="sans alignement","",IF(M592="tout alignement", """1_LB"", ""2_NB"", ""3_CB"", ""4_LN"", ""5_NN"", ""6_CN"", ""7_LM"", ""8_NM"", ""9_CM""",IF(M592="tout alignement non bon", """4_LN"", ""5_NN"", ""6_CN"", ""7_LM"", ""8_NM"", ""9_CM""",IF(M592="tout alignement mauvais", """7_LM"", ""8_NM"", ""9_CM""",IF(M592="tout alignement chaotique", """3_CB"", ""6_CN"", ""9_CM""",IF(M592="tout alignement non loyal", """2_NB"", ""3_CB"", ""5_NN"", ""6_CN"", ""8_NM"", ""9_CM""",""""&amp;VLOOKUP(M592,Alignements!$A$2:$B$10,2, FALSE)&amp;""""))))))</f>
        <v>"9_CM"</v>
      </c>
      <c r="O592" s="297"/>
      <c r="P592" t="str">
        <f t="shared" si="29"/>
        <v>"Orque, griffe de Luthic": {
  "Name" : "Orque, griffe de Luthic",
  "VO" : "Orc Claw of Luthic",
  "Family" : "HUMANOID",
  "Species" : ["ORC"],
  "FP" : "2", 
  "Size" : "M",
  "AC" : 14,
  "HP" : 45, 
  "Speed" : "",
  "Alignments" : ["9_CM"],
  "Legendary" : ""}</v>
      </c>
    </row>
    <row r="593" spans="1:16" ht="21">
      <c r="A593" s="299" t="s">
        <v>5206</v>
      </c>
      <c r="B593" s="298" t="s">
        <v>5207</v>
      </c>
      <c r="C593" s="306">
        <v>4</v>
      </c>
      <c r="D593" s="298" t="s">
        <v>5198</v>
      </c>
      <c r="E593" s="297" t="str">
        <f t="shared" si="27"/>
        <v>Humanoïde</v>
      </c>
      <c r="F593" s="297" t="str">
        <f>VLOOKUP(E593,'Types de monstres'!$A$2:$B$17,2,FALSE)</f>
        <v>HUMANOID</v>
      </c>
      <c r="G593" s="297" t="str">
        <f t="shared" si="28"/>
        <v>orque</v>
      </c>
      <c r="H593" s="297" t="str">
        <f>IF(OR(G593="",G593="toute race"),"",VLOOKUP(G593,'Types de monstres'!$F$2:$G$49,2,FALSE))</f>
        <v>ORC</v>
      </c>
      <c r="I593" s="298" t="s">
        <v>4091</v>
      </c>
      <c r="J593" s="300">
        <v>18</v>
      </c>
      <c r="K593" s="300">
        <v>60</v>
      </c>
      <c r="L593" s="298"/>
      <c r="M593" s="298" t="s">
        <v>4137</v>
      </c>
      <c r="N593" s="297" t="str">
        <f>IF(M593="sans alignement","",IF(M593="tout alignement", """1_LB"", ""2_NB"", ""3_CB"", ""4_LN"", ""5_NN"", ""6_CN"", ""7_LM"", ""8_NM"", ""9_CM""",IF(M593="tout alignement non bon", """4_LN"", ""5_NN"", ""6_CN"", ""7_LM"", ""8_NM"", ""9_CM""",IF(M593="tout alignement mauvais", """7_LM"", ""8_NM"", ""9_CM""",IF(M593="tout alignement chaotique", """3_CB"", ""6_CN"", ""9_CM""",IF(M593="tout alignement non loyal", """2_NB"", ""3_CB"", ""5_NN"", ""6_CN"", ""8_NM"", ""9_CM""",""""&amp;VLOOKUP(M593,Alignements!$A$2:$B$10,2, FALSE)&amp;""""))))))</f>
        <v>"9_CM"</v>
      </c>
      <c r="O593" s="298"/>
      <c r="P593" t="str">
        <f t="shared" si="29"/>
        <v>"Orque, lame d'Ilneval": {
  "Name" : "Orque, lame d'Ilneval",
  "VO" : "Orc Blade of Ilneval",
  "Family" : "HUMANOID",
  "Species" : ["ORC"],
  "FP" : "4", 
  "Size" : "M",
  "AC" : 18,
  "HP" : 60, 
  "Speed" : "",
  "Alignments" : ["9_CM"],
  "Legendary" : ""}</v>
      </c>
    </row>
    <row r="594" spans="1:16" ht="21">
      <c r="A594" s="301" t="s">
        <v>5208</v>
      </c>
      <c r="B594" s="297" t="s">
        <v>5209</v>
      </c>
      <c r="C594" s="305">
        <v>2</v>
      </c>
      <c r="D594" s="297" t="s">
        <v>5198</v>
      </c>
      <c r="E594" s="297" t="str">
        <f t="shared" si="27"/>
        <v>Humanoïde</v>
      </c>
      <c r="F594" s="297" t="str">
        <f>VLOOKUP(E594,'Types de monstres'!$A$2:$B$17,2,FALSE)</f>
        <v>HUMANOID</v>
      </c>
      <c r="G594" s="297" t="str">
        <f t="shared" si="28"/>
        <v>orque</v>
      </c>
      <c r="H594" s="297" t="str">
        <f>IF(OR(G594="",G594="toute race"),"",VLOOKUP(G594,'Types de monstres'!$F$2:$G$49,2,FALSE))</f>
        <v>ORC</v>
      </c>
      <c r="I594" s="297" t="s">
        <v>4091</v>
      </c>
      <c r="J594" s="302">
        <v>12</v>
      </c>
      <c r="K594" s="302">
        <v>30</v>
      </c>
      <c r="L594" s="297"/>
      <c r="M594" s="297" t="s">
        <v>4137</v>
      </c>
      <c r="N594" s="297" t="str">
        <f>IF(M594="sans alignement","",IF(M594="tout alignement", """1_LB"", ""2_NB"", ""3_CB"", ""4_LN"", ""5_NN"", ""6_CN"", ""7_LM"", ""8_NM"", ""9_CM""",IF(M594="tout alignement non bon", """4_LN"", ""5_NN"", ""6_CN"", ""7_LM"", ""8_NM"", ""9_CM""",IF(M594="tout alignement mauvais", """7_LM"", ""8_NM"", ""9_CM""",IF(M594="tout alignement chaotique", """3_CB"", ""6_CN"", ""9_CM""",IF(M594="tout alignement non loyal", """2_NB"", ""3_CB"", ""5_NN"", ""6_CN"", ""8_NM"", ""9_CM""",""""&amp;VLOOKUP(M594,Alignements!$A$2:$B$10,2, FALSE)&amp;""""))))))</f>
        <v>"9_CM"</v>
      </c>
      <c r="O594" s="297"/>
      <c r="P594" t="str">
        <f t="shared" si="29"/>
        <v>"Orque, main de Yurtrus": {
  "Name" : "Orque, main de Yurtrus",
  "VO" : "Orc Hand of Yurtrus",
  "Family" : "HUMANOID",
  "Species" : ["ORC"],
  "FP" : "2", 
  "Size" : "M",
  "AC" : 12,
  "HP" : 30, 
  "Speed" : "",
  "Alignments" : ["9_CM"],
  "Legendary" : ""}</v>
      </c>
    </row>
    <row r="595" spans="1:16" ht="21">
      <c r="A595" s="61" t="s">
        <v>5210</v>
      </c>
      <c r="B595" s="298" t="s">
        <v>5211</v>
      </c>
      <c r="C595" s="306">
        <v>2</v>
      </c>
      <c r="D595" s="298" t="s">
        <v>5198</v>
      </c>
      <c r="E595" s="297" t="str">
        <f t="shared" si="27"/>
        <v>Humanoïde</v>
      </c>
      <c r="F595" s="297" t="str">
        <f>VLOOKUP(E595,'Types de monstres'!$A$2:$B$17,2,FALSE)</f>
        <v>HUMANOID</v>
      </c>
      <c r="G595" s="297" t="str">
        <f t="shared" si="28"/>
        <v>orque</v>
      </c>
      <c r="H595" s="297" t="str">
        <f>IF(OR(G595="",G595="toute race"),"",VLOOKUP(G595,'Types de monstres'!$F$2:$G$49,2,FALSE))</f>
        <v>ORC</v>
      </c>
      <c r="I595" s="298" t="s">
        <v>4091</v>
      </c>
      <c r="J595" s="300">
        <v>16</v>
      </c>
      <c r="K595" s="300">
        <v>45</v>
      </c>
      <c r="L595" s="298"/>
      <c r="M595" s="298" t="s">
        <v>4137</v>
      </c>
      <c r="N595" s="297" t="str">
        <f>IF(M595="sans alignement","",IF(M595="tout alignement", """1_LB"", ""2_NB"", ""3_CB"", ""4_LN"", ""5_NN"", ""6_CN"", ""7_LM"", ""8_NM"", ""9_CM""",IF(M595="tout alignement non bon", """4_LN"", ""5_NN"", ""6_CN"", ""7_LM"", ""8_NM"", ""9_CM""",IF(M595="tout alignement mauvais", """7_LM"", ""8_NM"", ""9_CM""",IF(M595="tout alignement chaotique", """3_CB"", ""6_CN"", ""9_CM""",IF(M595="tout alignement non loyal", """2_NB"", ""3_CB"", ""5_NN"", ""6_CN"", ""8_NM"", ""9_CM""",""""&amp;VLOOKUP(M595,Alignements!$A$2:$B$10,2, FALSE)&amp;""""))))))</f>
        <v>"9_CM"</v>
      </c>
      <c r="O595" s="298"/>
      <c r="P595" t="str">
        <f t="shared" si="29"/>
        <v>"Orque, Oeil de Gruumsh": {
  "Name" : "Orque, Oeil de Gruumsh",
  "VO" : "Orc Eye of Gruumsh",
  "Family" : "HUMANOID",
  "Species" : ["ORC"],
  "FP" : "2", 
  "Size" : "M",
  "AC" : 16,
  "HP" : 45, 
  "Speed" : "",
  "Alignments" : ["9_CM"],
  "Legendary" : ""}</v>
      </c>
    </row>
    <row r="596" spans="1:16">
      <c r="A596" s="301" t="s">
        <v>5212</v>
      </c>
      <c r="B596" s="297" t="s">
        <v>5212</v>
      </c>
      <c r="C596" s="305">
        <v>10</v>
      </c>
      <c r="D596" s="297" t="s">
        <v>4096</v>
      </c>
      <c r="E596" s="297" t="str">
        <f t="shared" si="27"/>
        <v>Fiélon</v>
      </c>
      <c r="F596" s="297" t="str">
        <f>VLOOKUP(E596,'Types de monstres'!$A$2:$B$17,2,FALSE)</f>
        <v>FIEND</v>
      </c>
      <c r="G596" s="297" t="str">
        <f t="shared" si="28"/>
        <v>diable</v>
      </c>
      <c r="H596" s="297" t="str">
        <f>IF(OR(G596="",G596="toute race"),"",VLOOKUP(G596,'Types de monstres'!$F$2:$G$49,2,FALSE))</f>
        <v>DEVIL</v>
      </c>
      <c r="I596" s="297" t="s">
        <v>4112</v>
      </c>
      <c r="J596" s="302">
        <v>17</v>
      </c>
      <c r="K596" s="302">
        <v>105</v>
      </c>
      <c r="L596" s="297"/>
      <c r="M596" s="297" t="s">
        <v>4097</v>
      </c>
      <c r="N596" s="297" t="str">
        <f>IF(M596="sans alignement","",IF(M596="tout alignement", """1_LB"", ""2_NB"", ""3_CB"", ""4_LN"", ""5_NN"", ""6_CN"", ""7_LM"", ""8_NM"", ""9_CM""",IF(M596="tout alignement non bon", """4_LN"", ""5_NN"", ""6_CN"", ""7_LM"", ""8_NM"", ""9_CM""",IF(M596="tout alignement mauvais", """7_LM"", ""8_NM"", ""9_CM""",IF(M596="tout alignement chaotique", """3_CB"", ""6_CN"", ""9_CM""",IF(M596="tout alignement non loyal", """2_NB"", ""3_CB"", ""5_NN"", ""6_CN"", ""8_NM"", ""9_CM""",""""&amp;VLOOKUP(M596,Alignements!$A$2:$B$10,2, FALSE)&amp;""""))))))</f>
        <v>"7_LM"</v>
      </c>
      <c r="O596" s="297"/>
      <c r="P596" t="str">
        <f t="shared" si="29"/>
        <v>"Orthon": {
  "Name" : "Orthon",
  "VO" : "Orthon",
  "Family" : "FIEND",
  "Species" : ["DEVIL"],
  "FP" : "10", 
  "Size" : "G",
  "AC" : 17,
  "HP" : 105, 
  "Speed" : "",
  "Alignments" : ["7_LM"],
  "Legendary" : ""}</v>
      </c>
    </row>
    <row r="597" spans="1:16">
      <c r="A597" s="61" t="s">
        <v>5213</v>
      </c>
      <c r="B597" s="298" t="s">
        <v>5213</v>
      </c>
      <c r="C597" s="306">
        <v>5</v>
      </c>
      <c r="D597" s="298" t="s">
        <v>4111</v>
      </c>
      <c r="E597" s="297" t="str">
        <f t="shared" si="27"/>
        <v>Aberration</v>
      </c>
      <c r="F597" s="297" t="str">
        <f>VLOOKUP(E597,'Types de monstres'!$A$2:$B$17,2,FALSE)</f>
        <v>ABERRATION</v>
      </c>
      <c r="G597" s="297" t="str">
        <f t="shared" si="28"/>
        <v/>
      </c>
      <c r="H597" s="297" t="str">
        <f>IF(OR(G597="",G597="toute race"),"",VLOOKUP(G597,'Types de monstres'!$F$2:$G$49,2,FALSE))</f>
        <v/>
      </c>
      <c r="I597" s="298" t="s">
        <v>4112</v>
      </c>
      <c r="J597" s="300">
        <v>14</v>
      </c>
      <c r="K597" s="300">
        <v>114</v>
      </c>
      <c r="L597" s="298"/>
      <c r="M597" s="298" t="s">
        <v>4193</v>
      </c>
      <c r="N597" s="297" t="str">
        <f>IF(M597="sans alignement","",IF(M597="tout alignement", """1_LB"", ""2_NB"", ""3_CB"", ""4_LN"", ""5_NN"", ""6_CN"", ""7_LM"", ""8_NM"", ""9_CM""",IF(M597="tout alignement non bon", """4_LN"", ""5_NN"", ""6_CN"", ""7_LM"", ""8_NM"", ""9_CM""",IF(M597="tout alignement mauvais", """7_LM"", ""8_NM"", ""9_CM""",IF(M597="tout alignement chaotique", """3_CB"", ""6_CN"", ""9_CM""",IF(M597="tout alignement non loyal", """2_NB"", ""3_CB"", ""5_NN"", ""6_CN"", ""8_NM"", ""9_CM""",""""&amp;VLOOKUP(M597,Alignements!$A$2:$B$10,2, FALSE)&amp;""""))))))</f>
        <v>"5_NN"</v>
      </c>
      <c r="O597" s="298"/>
      <c r="P597" t="str">
        <f t="shared" si="29"/>
        <v>"Otyugh": {
  "Name" : "Otyugh",
  "VO" : "Otyugh",
  "Family" : "ABERRATION",
  "Species" : [""],
  "FP" : "5", 
  "Size" : "G",
  "AC" : 14,
  "HP" : 114, 
  "Speed" : "",
  "Alignments" : ["5_NN"],
  "Legendary" : ""}</v>
      </c>
    </row>
    <row r="598" spans="1:16">
      <c r="A598" s="61" t="s">
        <v>5214</v>
      </c>
      <c r="B598" s="297" t="s">
        <v>5215</v>
      </c>
      <c r="C598" s="305">
        <v>1</v>
      </c>
      <c r="D598" s="297" t="s">
        <v>4128</v>
      </c>
      <c r="E598" s="297" t="str">
        <f t="shared" si="27"/>
        <v>Bête</v>
      </c>
      <c r="F598" s="297" t="str">
        <f>VLOOKUP(E598,'Types de monstres'!$A$2:$B$17,2,FALSE)</f>
        <v>BEAST</v>
      </c>
      <c r="G598" s="297" t="str">
        <f t="shared" si="28"/>
        <v/>
      </c>
      <c r="H598" s="297" t="str">
        <f>IF(OR(G598="",G598="toute race"),"",VLOOKUP(G598,'Types de monstres'!$F$2:$G$49,2,FALSE))</f>
        <v/>
      </c>
      <c r="I598" s="297" t="s">
        <v>4112</v>
      </c>
      <c r="J598" s="302">
        <v>11</v>
      </c>
      <c r="K598" s="302">
        <v>34</v>
      </c>
      <c r="L598" s="297"/>
      <c r="M598" s="297" t="s">
        <v>4130</v>
      </c>
      <c r="N598" s="297" t="str">
        <f>IF(M598="sans alignement","",IF(M598="tout alignement", """1_LB"", ""2_NB"", ""3_CB"", ""4_LN"", ""5_NN"", ""6_CN"", ""7_LM"", ""8_NM"", ""9_CM""",IF(M598="tout alignement non bon", """4_LN"", ""5_NN"", ""6_CN"", ""7_LM"", ""8_NM"", ""9_CM""",IF(M598="tout alignement mauvais", """7_LM"", ""8_NM"", ""9_CM""",IF(M598="tout alignement chaotique", """3_CB"", ""6_CN"", ""9_CM""",IF(M598="tout alignement non loyal", """2_NB"", ""3_CB"", ""5_NN"", ""6_CN"", ""8_NM"", ""9_CM""",""""&amp;VLOOKUP(M598,Alignements!$A$2:$B$10,2, FALSE)&amp;""""))))))</f>
        <v/>
      </c>
      <c r="O598" s="297"/>
      <c r="P598" t="str">
        <f t="shared" si="29"/>
        <v>"Ours brun": {
  "Name" : "Ours brun",
  "VO" : "Brown Bear",
  "Family" : "BEAST",
  "Species" : [""],
  "FP" : "1", 
  "Size" : "G",
  "AC" : 11,
  "HP" : 34, 
  "Speed" : "",
  "Alignments" : [],
  "Legendary" : ""}</v>
      </c>
    </row>
    <row r="599" spans="1:16">
      <c r="A599" s="61" t="s">
        <v>5216</v>
      </c>
      <c r="B599" s="298" t="s">
        <v>5217</v>
      </c>
      <c r="C599" s="306" t="s">
        <v>5620</v>
      </c>
      <c r="D599" s="298" t="s">
        <v>4128</v>
      </c>
      <c r="E599" s="297" t="str">
        <f t="shared" si="27"/>
        <v>Bête</v>
      </c>
      <c r="F599" s="297" t="str">
        <f>VLOOKUP(E599,'Types de monstres'!$A$2:$B$17,2,FALSE)</f>
        <v>BEAST</v>
      </c>
      <c r="G599" s="297" t="str">
        <f t="shared" si="28"/>
        <v/>
      </c>
      <c r="H599" s="297" t="str">
        <f>IF(OR(G599="",G599="toute race"),"",VLOOKUP(G599,'Types de monstres'!$F$2:$G$49,2,FALSE))</f>
        <v/>
      </c>
      <c r="I599" s="298" t="s">
        <v>4091</v>
      </c>
      <c r="J599" s="300">
        <v>11</v>
      </c>
      <c r="K599" s="300">
        <v>19</v>
      </c>
      <c r="L599" s="298"/>
      <c r="M599" s="298" t="s">
        <v>4130</v>
      </c>
      <c r="N599" s="297" t="str">
        <f>IF(M599="sans alignement","",IF(M599="tout alignement", """1_LB"", ""2_NB"", ""3_CB"", ""4_LN"", ""5_NN"", ""6_CN"", ""7_LM"", ""8_NM"", ""9_CM""",IF(M599="tout alignement non bon", """4_LN"", ""5_NN"", ""6_CN"", ""7_LM"", ""8_NM"", ""9_CM""",IF(M599="tout alignement mauvais", """7_LM"", ""8_NM"", ""9_CM""",IF(M599="tout alignement chaotique", """3_CB"", ""6_CN"", ""9_CM""",IF(M599="tout alignement non loyal", """2_NB"", ""3_CB"", ""5_NN"", ""6_CN"", ""8_NM"", ""9_CM""",""""&amp;VLOOKUP(M599,Alignements!$A$2:$B$10,2, FALSE)&amp;""""))))))</f>
        <v/>
      </c>
      <c r="O599" s="298"/>
      <c r="P599" t="str">
        <f t="shared" si="29"/>
        <v>"Ours noir": {
  "Name" : "Ours noir",
  "VO" : "Black Bear",
  "Family" : "BEAST",
  "Species" : [""],
  "FP" : "1/2", 
  "Size" : "M",
  "AC" : 11,
  "HP" : 19, 
  "Speed" : "",
  "Alignments" : [],
  "Legendary" : ""}</v>
      </c>
    </row>
    <row r="600" spans="1:16">
      <c r="A600" s="61" t="s">
        <v>5218</v>
      </c>
      <c r="B600" s="297" t="s">
        <v>5219</v>
      </c>
      <c r="C600" s="305">
        <v>2</v>
      </c>
      <c r="D600" s="297" t="s">
        <v>4128</v>
      </c>
      <c r="E600" s="297" t="str">
        <f t="shared" si="27"/>
        <v>Bête</v>
      </c>
      <c r="F600" s="297" t="str">
        <f>VLOOKUP(E600,'Types de monstres'!$A$2:$B$17,2,FALSE)</f>
        <v>BEAST</v>
      </c>
      <c r="G600" s="297" t="str">
        <f t="shared" si="28"/>
        <v/>
      </c>
      <c r="H600" s="297" t="str">
        <f>IF(OR(G600="",G600="toute race"),"",VLOOKUP(G600,'Types de monstres'!$F$2:$G$49,2,FALSE))</f>
        <v/>
      </c>
      <c r="I600" s="297" t="s">
        <v>4112</v>
      </c>
      <c r="J600" s="302">
        <v>12</v>
      </c>
      <c r="K600" s="302">
        <v>42</v>
      </c>
      <c r="L600" s="297" t="s">
        <v>4113</v>
      </c>
      <c r="M600" s="297" t="s">
        <v>4130</v>
      </c>
      <c r="N600" s="297" t="str">
        <f>IF(M600="sans alignement","",IF(M600="tout alignement", """1_LB"", ""2_NB"", ""3_CB"", ""4_LN"", ""5_NN"", ""6_CN"", ""7_LM"", ""8_NM"", ""9_CM""",IF(M600="tout alignement non bon", """4_LN"", ""5_NN"", ""6_CN"", ""7_LM"", ""8_NM"", ""9_CM""",IF(M600="tout alignement mauvais", """7_LM"", ""8_NM"", ""9_CM""",IF(M600="tout alignement chaotique", """3_CB"", ""6_CN"", ""9_CM""",IF(M600="tout alignement non loyal", """2_NB"", ""3_CB"", ""5_NN"", ""6_CN"", ""8_NM"", ""9_CM""",""""&amp;VLOOKUP(M600,Alignements!$A$2:$B$10,2, FALSE)&amp;""""))))))</f>
        <v/>
      </c>
      <c r="O600" s="297"/>
      <c r="P600" t="str">
        <f t="shared" si="29"/>
        <v>"Ours polaire": {
  "Name" : "Ours polaire",
  "VO" : "Polar Bear",
  "Family" : "BEAST",
  "Species" : [""],
  "FP" : "2", 
  "Size" : "G",
  "AC" : 12,
  "HP" : 42, 
  "Speed" : "nage",
  "Alignments" : [],
  "Legendary" : ""}</v>
      </c>
    </row>
    <row r="601" spans="1:16" ht="21">
      <c r="A601" s="61" t="s">
        <v>5220</v>
      </c>
      <c r="B601" s="298" t="s">
        <v>5221</v>
      </c>
      <c r="C601" s="306">
        <v>5</v>
      </c>
      <c r="D601" s="298" t="s">
        <v>4351</v>
      </c>
      <c r="E601" s="297" t="str">
        <f t="shared" si="27"/>
        <v>Humanoïde</v>
      </c>
      <c r="F601" s="297" t="str">
        <f>VLOOKUP(E601,'Types de monstres'!$A$2:$B$17,2,FALSE)</f>
        <v>HUMANOID</v>
      </c>
      <c r="G601" s="297" t="str">
        <f t="shared" si="28"/>
        <v>humain, métamorphe</v>
      </c>
      <c r="H601" s="297" t="s">
        <v>5721</v>
      </c>
      <c r="I601" s="298" t="s">
        <v>4091</v>
      </c>
      <c r="J601" s="300">
        <v>10</v>
      </c>
      <c r="K601" s="300">
        <v>135</v>
      </c>
      <c r="L601" s="298"/>
      <c r="M601" s="298" t="s">
        <v>4093</v>
      </c>
      <c r="N601" s="297" t="str">
        <f>IF(M601="sans alignement","",IF(M601="tout alignement", """1_LB"", ""2_NB"", ""3_CB"", ""4_LN"", ""5_NN"", ""6_CN"", ""7_LM"", ""8_NM"", ""9_CM""",IF(M601="tout alignement non bon", """4_LN"", ""5_NN"", ""6_CN"", ""7_LM"", ""8_NM"", ""9_CM""",IF(M601="tout alignement mauvais", """7_LM"", ""8_NM"", ""9_CM""",IF(M601="tout alignement chaotique", """3_CB"", ""6_CN"", ""9_CM""",IF(M601="tout alignement non loyal", """2_NB"", ""3_CB"", ""5_NN"", ""6_CN"", ""8_NM"", ""9_CM""",""""&amp;VLOOKUP(M601,Alignements!$A$2:$B$10,2, FALSE)&amp;""""))))))</f>
        <v>"2_NB"</v>
      </c>
      <c r="O601" s="298"/>
      <c r="P601" t="str">
        <f t="shared" si="29"/>
        <v>"Ours-garou": {
  "Name" : "Ours-garou",
  "VO" : "Werebear",
  "Family" : "HUMANOID",
  "Species" : ["HUMAN", "METAMORPH"],
  "FP" : "5", 
  "Size" : "M",
  "AC" : 10,
  "HP" : 135, 
  "Speed" : "",
  "Alignments" : ["2_NB"],
  "Legendary" : ""}</v>
      </c>
    </row>
    <row r="602" spans="1:16">
      <c r="A602" s="61" t="s">
        <v>5222</v>
      </c>
      <c r="B602" s="297" t="s">
        <v>5223</v>
      </c>
      <c r="C602" s="305">
        <v>3</v>
      </c>
      <c r="D602" s="297" t="s">
        <v>4121</v>
      </c>
      <c r="E602" s="297" t="str">
        <f t="shared" si="27"/>
        <v>Créature monstrueuse</v>
      </c>
      <c r="F602" s="297" t="str">
        <f>VLOOKUP(E602,'Types de monstres'!$A$2:$B$17,2,FALSE)</f>
        <v>MONSTROUS_CREATURE</v>
      </c>
      <c r="G602" s="297" t="str">
        <f t="shared" si="28"/>
        <v/>
      </c>
      <c r="H602" s="297" t="str">
        <f>IF(OR(G602="",G602="toute race"),"",VLOOKUP(G602,'Types de monstres'!$F$2:$G$49,2,FALSE))</f>
        <v/>
      </c>
      <c r="I602" s="297" t="s">
        <v>4112</v>
      </c>
      <c r="J602" s="302">
        <v>13</v>
      </c>
      <c r="K602" s="302">
        <v>59</v>
      </c>
      <c r="L602" s="297"/>
      <c r="M602" s="297" t="s">
        <v>4130</v>
      </c>
      <c r="N602" s="297" t="str">
        <f>IF(M602="sans alignement","",IF(M602="tout alignement", """1_LB"", ""2_NB"", ""3_CB"", ""4_LN"", ""5_NN"", ""6_CN"", ""7_LM"", ""8_NM"", ""9_CM""",IF(M602="tout alignement non bon", """4_LN"", ""5_NN"", ""6_CN"", ""7_LM"", ""8_NM"", ""9_CM""",IF(M602="tout alignement mauvais", """7_LM"", ""8_NM"", ""9_CM""",IF(M602="tout alignement chaotique", """3_CB"", ""6_CN"", ""9_CM""",IF(M602="tout alignement non loyal", """2_NB"", ""3_CB"", ""5_NN"", ""6_CN"", ""8_NM"", ""9_CM""",""""&amp;VLOOKUP(M602,Alignements!$A$2:$B$10,2, FALSE)&amp;""""))))))</f>
        <v/>
      </c>
      <c r="O602" s="297"/>
      <c r="P602" t="str">
        <f t="shared" si="29"/>
        <v>"Ours-hibou": {
  "Name" : "Ours-hibou",
  "VO" : "Owlbear",
  "Family" : "MONSTROUS_CREATURE",
  "Species" : [""],
  "FP" : "3", 
  "Size" : "G",
  "AC" : 13,
  "HP" : 59, 
  "Speed" : "",
  "Alignments" : [],
  "Legendary" : ""}</v>
      </c>
    </row>
    <row r="603" spans="1:16">
      <c r="A603" s="61" t="s">
        <v>5224</v>
      </c>
      <c r="B603" s="298" t="s">
        <v>5225</v>
      </c>
      <c r="C603" s="306" t="s">
        <v>5620</v>
      </c>
      <c r="D603" s="298" t="s">
        <v>4121</v>
      </c>
      <c r="E603" s="297" t="str">
        <f t="shared" si="27"/>
        <v>Créature monstrueuse</v>
      </c>
      <c r="F603" s="297" t="str">
        <f>VLOOKUP(E603,'Types de monstres'!$A$2:$B$17,2,FALSE)</f>
        <v>MONSTROUS_CREATURE</v>
      </c>
      <c r="G603" s="297" t="str">
        <f t="shared" si="28"/>
        <v/>
      </c>
      <c r="H603" s="297" t="str">
        <f>IF(OR(G603="",G603="toute race"),"",VLOOKUP(G603,'Types de monstres'!$F$2:$G$49,2,FALSE))</f>
        <v/>
      </c>
      <c r="I603" s="298" t="s">
        <v>4091</v>
      </c>
      <c r="J603" s="300">
        <v>14</v>
      </c>
      <c r="K603" s="300">
        <v>27</v>
      </c>
      <c r="L603" s="298"/>
      <c r="M603" s="298" t="s">
        <v>4130</v>
      </c>
      <c r="N603" s="297" t="str">
        <f>IF(M603="sans alignement","",IF(M603="tout alignement", """1_LB"", ""2_NB"", ""3_CB"", ""4_LN"", ""5_NN"", ""6_CN"", ""7_LM"", ""8_NM"", ""9_CM""",IF(M603="tout alignement non bon", """4_LN"", ""5_NN"", ""6_CN"", ""7_LM"", ""8_NM"", ""9_CM""",IF(M603="tout alignement mauvais", """7_LM"", ""8_NM"", ""9_CM""",IF(M603="tout alignement chaotique", """3_CB"", ""6_CN"", ""9_CM""",IF(M603="tout alignement non loyal", """2_NB"", ""3_CB"", ""5_NN"", ""6_CN"", ""8_NM"", ""9_CM""",""""&amp;VLOOKUP(M603,Alignements!$A$2:$B$10,2, FALSE)&amp;""""))))))</f>
        <v/>
      </c>
      <c r="O603" s="298"/>
      <c r="P603" t="str">
        <f t="shared" si="29"/>
        <v>"Oxydeur": {
  "Name" : "Oxydeur",
  "VO" : "Rust Monster",
  "Family" : "MONSTROUS_CREATURE",
  "Species" : [""],
  "FP" : "1/2", 
  "Size" : "M",
  "AC" : 14,
  "HP" : 27, 
  "Speed" : "",
  "Alignments" : [],
  "Legendary" : ""}</v>
      </c>
    </row>
    <row r="604" spans="1:16">
      <c r="A604" s="61" t="s">
        <v>5226</v>
      </c>
      <c r="B604" s="297" t="s">
        <v>5227</v>
      </c>
      <c r="C604" s="305" t="s">
        <v>5618</v>
      </c>
      <c r="D604" s="297" t="s">
        <v>4128</v>
      </c>
      <c r="E604" s="297" t="str">
        <f t="shared" si="27"/>
        <v>Bête</v>
      </c>
      <c r="F604" s="297" t="str">
        <f>VLOOKUP(E604,'Types de monstres'!$A$2:$B$17,2,FALSE)</f>
        <v>BEAST</v>
      </c>
      <c r="G604" s="297" t="str">
        <f t="shared" si="28"/>
        <v/>
      </c>
      <c r="H604" s="297" t="str">
        <f>IF(OR(G604="",G604="toute race"),"",VLOOKUP(G604,'Types de monstres'!$F$2:$G$49,2,FALSE))</f>
        <v/>
      </c>
      <c r="I604" s="297" t="s">
        <v>4091</v>
      </c>
      <c r="J604" s="302">
        <v>12</v>
      </c>
      <c r="K604" s="302">
        <v>13</v>
      </c>
      <c r="L604" s="297"/>
      <c r="M604" s="297" t="s">
        <v>4130</v>
      </c>
      <c r="N604" s="297" t="str">
        <f>IF(M604="sans alignement","",IF(M604="tout alignement", """1_LB"", ""2_NB"", ""3_CB"", ""4_LN"", ""5_NN"", ""6_CN"", ""7_LM"", ""8_NM"", ""9_CM""",IF(M604="tout alignement non bon", """4_LN"", ""5_NN"", ""6_CN"", ""7_LM"", ""8_NM"", ""9_CM""",IF(M604="tout alignement mauvais", """7_LM"", ""8_NM"", ""9_CM""",IF(M604="tout alignement chaotique", """3_CB"", ""6_CN"", ""9_CM""",IF(M604="tout alignement non loyal", """2_NB"", ""3_CB"", ""5_NN"", ""6_CN"", ""8_NM"", ""9_CM""",""""&amp;VLOOKUP(M604,Alignements!$A$2:$B$10,2, FALSE)&amp;""""))))))</f>
        <v/>
      </c>
      <c r="O604" s="297"/>
      <c r="P604" t="str">
        <f t="shared" si="29"/>
        <v>"Panthère": {
  "Name" : "Panthère",
  "VO" : "Panther",
  "Family" : "BEAST",
  "Species" : [""],
  "FP" : "1/4", 
  "Size" : "M",
  "AC" : 12,
  "HP" : 13, 
  "Speed" : "",
  "Alignments" : [],
  "Legendary" : ""}</v>
      </c>
    </row>
    <row r="605" spans="1:16">
      <c r="A605" s="61" t="s">
        <v>5228</v>
      </c>
      <c r="B605" s="298" t="s">
        <v>5229</v>
      </c>
      <c r="C605" s="306" t="s">
        <v>5620</v>
      </c>
      <c r="D605" s="298" t="s">
        <v>4121</v>
      </c>
      <c r="E605" s="297" t="str">
        <f t="shared" si="27"/>
        <v>Créature monstrueuse</v>
      </c>
      <c r="F605" s="297" t="str">
        <f>VLOOKUP(E605,'Types de monstres'!$A$2:$B$17,2,FALSE)</f>
        <v>MONSTROUS_CREATURE</v>
      </c>
      <c r="G605" s="297" t="str">
        <f t="shared" si="28"/>
        <v/>
      </c>
      <c r="H605" s="297" t="str">
        <f>IF(OR(G605="",G605="toute race"),"",VLOOKUP(G605,'Types de monstres'!$F$2:$G$49,2,FALSE))</f>
        <v/>
      </c>
      <c r="I605" s="298" t="s">
        <v>4091</v>
      </c>
      <c r="J605" s="300">
        <v>12</v>
      </c>
      <c r="K605" s="300">
        <v>13</v>
      </c>
      <c r="L605" s="298" t="s">
        <v>4092</v>
      </c>
      <c r="M605" s="298" t="s">
        <v>4130</v>
      </c>
      <c r="N605" s="297" t="str">
        <f>IF(M605="sans alignement","",IF(M605="tout alignement", """1_LB"", ""2_NB"", ""3_CB"", ""4_LN"", ""5_NN"", ""6_CN"", ""7_LM"", ""8_NM"", ""9_CM""",IF(M605="tout alignement non bon", """4_LN"", ""5_NN"", ""6_CN"", ""7_LM"", ""8_NM"", ""9_CM""",IF(M605="tout alignement mauvais", """7_LM"", ""8_NM"", ""9_CM""",IF(M605="tout alignement chaotique", """3_CB"", ""6_CN"", ""9_CM""",IF(M605="tout alignement non loyal", """2_NB"", ""3_CB"", ""5_NN"", ""6_CN"", ""8_NM"", ""9_CM""",""""&amp;VLOOKUP(M605,Alignements!$A$2:$B$10,2, FALSE)&amp;""""))))))</f>
        <v/>
      </c>
      <c r="O605" s="298"/>
      <c r="P605" t="str">
        <f t="shared" si="29"/>
        <v>"Particules d'avarice": {
  "Name" : "Particules d'avarice",
  "VO" : "Greed Mote",
  "Family" : "MONSTROUS_CREATURE",
  "Species" : [""],
  "FP" : "1/2", 
  "Size" : "M",
  "AC" : 12,
  "HP" : 13, 
  "Speed" : "vol",
  "Alignments" : [],
  "Legendary" : ""}</v>
      </c>
    </row>
    <row r="606" spans="1:16" ht="21">
      <c r="A606" s="301" t="s">
        <v>5230</v>
      </c>
      <c r="B606" s="297" t="s">
        <v>5231</v>
      </c>
      <c r="C606" s="305">
        <v>10</v>
      </c>
      <c r="D606" s="297" t="s">
        <v>4117</v>
      </c>
      <c r="E606" s="297" t="str">
        <f t="shared" si="27"/>
        <v>Mort-vivant</v>
      </c>
      <c r="F606" s="297" t="str">
        <f>VLOOKUP(E606,'Types de monstres'!$A$2:$B$17,2,FALSE)</f>
        <v>UNDEAD</v>
      </c>
      <c r="G606" s="297" t="str">
        <f t="shared" si="28"/>
        <v/>
      </c>
      <c r="H606" s="297" t="str">
        <f>IF(OR(G606="",G606="toute race"),"",VLOOKUP(G606,'Types de monstres'!$F$2:$G$49,2,FALSE))</f>
        <v/>
      </c>
      <c r="I606" s="297" t="s">
        <v>4091</v>
      </c>
      <c r="J606" s="302">
        <v>17</v>
      </c>
      <c r="K606" s="302">
        <v>104</v>
      </c>
      <c r="L606" s="297"/>
      <c r="M606" s="297" t="s">
        <v>4093</v>
      </c>
      <c r="N606" s="297" t="str">
        <f>IF(M606="sans alignement","",IF(M606="tout alignement", """1_LB"", ""2_NB"", ""3_CB"", ""4_LN"", ""5_NN"", ""6_CN"", ""7_LM"", ""8_NM"", ""9_CM""",IF(M606="tout alignement non bon", """4_LN"", ""5_NN"", ""6_CN"", ""7_LM"", ""8_NM"", ""9_CM""",IF(M606="tout alignement mauvais", """7_LM"", ""8_NM"", ""9_CM""",IF(M606="tout alignement chaotique", """3_CB"", ""6_CN"", ""9_CM""",IF(M606="tout alignement non loyal", """2_NB"", ""3_CB"", ""5_NN"", ""6_CN"", ""8_NM"", ""9_CM""",""""&amp;VLOOKUP(M606,Alignements!$A$2:$B$10,2, FALSE)&amp;""""))))))</f>
        <v>"2_NB"</v>
      </c>
      <c r="O606" s="297"/>
      <c r="P606" t="str">
        <f t="shared" si="29"/>
        <v>"Patricien outre-mort": {
  "Name" : "Patricien outre-mort",
  "VO" : "Undying Councilor",
  "Family" : "UNDEAD",
  "Species" : [""],
  "FP" : "10", 
  "Size" : "M",
  "AC" : 17,
  "HP" : 104, 
  "Speed" : "",
  "Alignments" : ["2_NB"],
  "Legendary" : ""}</v>
      </c>
    </row>
    <row r="607" spans="1:16">
      <c r="A607" s="61" t="s">
        <v>5232</v>
      </c>
      <c r="B607" s="298" t="s">
        <v>5233</v>
      </c>
      <c r="C607" s="306">
        <v>2</v>
      </c>
      <c r="D607" s="298" t="s">
        <v>2598</v>
      </c>
      <c r="E607" s="297" t="str">
        <f t="shared" si="27"/>
        <v>Céleste</v>
      </c>
      <c r="F607" s="297" t="str">
        <f>VLOOKUP(E607,'Types de monstres'!$A$2:$B$17,2,FALSE)</f>
        <v>CELESTIAL</v>
      </c>
      <c r="G607" s="297" t="str">
        <f t="shared" si="28"/>
        <v/>
      </c>
      <c r="H607" s="297" t="str">
        <f>IF(OR(G607="",G607="toute race"),"",VLOOKUP(G607,'Types de monstres'!$F$2:$G$49,2,FALSE))</f>
        <v/>
      </c>
      <c r="I607" s="298" t="s">
        <v>4112</v>
      </c>
      <c r="J607" s="300">
        <v>12</v>
      </c>
      <c r="K607" s="300">
        <v>59</v>
      </c>
      <c r="L607" s="298" t="s">
        <v>4092</v>
      </c>
      <c r="M607" s="298" t="s">
        <v>4439</v>
      </c>
      <c r="N607" s="297" t="str">
        <f>IF(M607="sans alignement","",IF(M607="tout alignement", """1_LB"", ""2_NB"", ""3_CB"", ""4_LN"", ""5_NN"", ""6_CN"", ""7_LM"", ""8_NM"", ""9_CM""",IF(M607="tout alignement non bon", """4_LN"", ""5_NN"", ""6_CN"", ""7_LM"", ""8_NM"", ""9_CM""",IF(M607="tout alignement mauvais", """7_LM"", ""8_NM"", ""9_CM""",IF(M607="tout alignement chaotique", """3_CB"", ""6_CN"", ""9_CM""",IF(M607="tout alignement non loyal", """2_NB"", ""3_CB"", ""5_NN"", ""6_CN"", ""8_NM"", ""9_CM""",""""&amp;VLOOKUP(M607,Alignements!$A$2:$B$10,2, FALSE)&amp;""""))))))</f>
        <v>"3_CB"</v>
      </c>
      <c r="O607" s="298"/>
      <c r="P607" t="str">
        <f t="shared" si="29"/>
        <v>"Pégase": {
  "Name" : "Pégase",
  "VO" : "Pegasus",
  "Family" : "CELESTIAL",
  "Species" : [""],
  "FP" : "2", 
  "Size" : "G",
  "AC" : 12,
  "HP" : 59, 
  "Speed" : "vol",
  "Alignments" : ["3_CB"],
  "Legendary" : ""}</v>
      </c>
    </row>
    <row r="608" spans="1:16">
      <c r="A608" s="61" t="s">
        <v>5234</v>
      </c>
      <c r="B608" s="297" t="s">
        <v>5234</v>
      </c>
      <c r="C608" s="305">
        <v>2</v>
      </c>
      <c r="D608" s="297" t="s">
        <v>4181</v>
      </c>
      <c r="E608" s="297" t="str">
        <f t="shared" si="27"/>
        <v>Créature artificielle</v>
      </c>
      <c r="F608" s="297" t="str">
        <f>VLOOKUP(E608,'Types de monstres'!$A$2:$B$17,2,FALSE)</f>
        <v>ARTIFICIAL_CREATURE</v>
      </c>
      <c r="G608" s="297" t="str">
        <f t="shared" si="28"/>
        <v/>
      </c>
      <c r="H608" s="297" t="str">
        <f>IF(OR(G608="",G608="toute race"),"",VLOOKUP(G608,'Types de monstres'!$F$2:$G$49,2,FALSE))</f>
        <v/>
      </c>
      <c r="I608" s="297" t="s">
        <v>4112</v>
      </c>
      <c r="J608" s="302">
        <v>16</v>
      </c>
      <c r="K608" s="302">
        <v>32</v>
      </c>
      <c r="L608" s="297"/>
      <c r="M608" s="297" t="s">
        <v>4145</v>
      </c>
      <c r="N608" s="297" t="str">
        <f>IF(M608="sans alignement","",IF(M608="tout alignement", """1_LB"", ""2_NB"", ""3_CB"", ""4_LN"", ""5_NN"", ""6_CN"", ""7_LM"", ""8_NM"", ""9_CM""",IF(M608="tout alignement non bon", """4_LN"", ""5_NN"", ""6_CN"", ""7_LM"", ""8_NM"", ""9_CM""",IF(M608="tout alignement mauvais", """7_LM"", ""8_NM"", ""9_CM""",IF(M608="tout alignement chaotique", """3_CB"", ""6_CN"", ""9_CM""",IF(M608="tout alignement non loyal", """2_NB"", ""3_CB"", ""5_NN"", ""6_CN"", ""8_NM"", ""9_CM""",""""&amp;VLOOKUP(M608,Alignements!$A$2:$B$10,2, FALSE)&amp;""""))))))</f>
        <v>"4_LN"</v>
      </c>
      <c r="O608" s="297"/>
      <c r="P608" t="str">
        <f t="shared" si="29"/>
        <v>"Pentadrone": {
  "Name" : "Pentadrone",
  "VO" : "Pentadrone",
  "Family" : "ARTIFICIAL_CREATURE",
  "Species" : [""],
  "FP" : "2", 
  "Size" : "G",
  "AC" : 16,
  "HP" : 32, 
  "Speed" : "",
  "Alignments" : ["4_LN"],
  "Legendary" : ""}</v>
      </c>
    </row>
    <row r="609" spans="1:16">
      <c r="A609" s="61" t="s">
        <v>5235</v>
      </c>
      <c r="B609" s="298" t="s">
        <v>5236</v>
      </c>
      <c r="C609" s="306" t="s">
        <v>5620</v>
      </c>
      <c r="D609" s="298" t="s">
        <v>4121</v>
      </c>
      <c r="E609" s="297" t="str">
        <f t="shared" si="27"/>
        <v>Créature monstrueuse</v>
      </c>
      <c r="F609" s="297" t="str">
        <f>VLOOKUP(E609,'Types de monstres'!$A$2:$B$17,2,FALSE)</f>
        <v>MONSTROUS_CREATURE</v>
      </c>
      <c r="G609" s="297" t="str">
        <f t="shared" si="28"/>
        <v/>
      </c>
      <c r="H609" s="297" t="str">
        <f>IF(OR(G609="",G609="toute race"),"",VLOOKUP(G609,'Types de monstres'!$F$2:$G$49,2,FALSE))</f>
        <v/>
      </c>
      <c r="I609" s="298" t="s">
        <v>4091</v>
      </c>
      <c r="J609" s="300">
        <v>15</v>
      </c>
      <c r="K609" s="300">
        <v>22</v>
      </c>
      <c r="L609" s="298"/>
      <c r="M609" s="298" t="s">
        <v>4130</v>
      </c>
      <c r="N609" s="297" t="str">
        <f>IF(M609="sans alignement","",IF(M609="tout alignement", """1_LB"", ""2_NB"", ""3_CB"", ""4_LN"", ""5_NN"", ""6_CN"", ""7_LM"", ""8_NM"", ""9_CM""",IF(M609="tout alignement non bon", """4_LN"", ""5_NN"", ""6_CN"", ""7_LM"", ""8_NM"", ""9_CM""",IF(M609="tout alignement mauvais", """7_LM"", ""8_NM"", ""9_CM""",IF(M609="tout alignement chaotique", """3_CB"", ""6_CN"", ""9_CM""",IF(M609="tout alignement non loyal", """2_NB"", ""3_CB"", ""5_NN"", ""6_CN"", ""8_NM"", ""9_CM""",""""&amp;VLOOKUP(M609,Alignements!$A$2:$B$10,2, FALSE)&amp;""""))))))</f>
        <v/>
      </c>
      <c r="O609" s="298"/>
      <c r="P609" t="str">
        <f t="shared" si="29"/>
        <v>"Perceur": {
  "Name" : "Perceur",
  "VO" : "Piercer",
  "Family" : "MONSTROUS_CREATURE",
  "Species" : [""],
  "FP" : "1/2", 
  "Size" : "M",
  "AC" : 15,
  "HP" : 22, 
  "Speed" : "",
  "Alignments" : [],
  "Legendary" : ""}</v>
      </c>
    </row>
    <row r="610" spans="1:16">
      <c r="A610" s="61" t="s">
        <v>5237</v>
      </c>
      <c r="B610" s="297" t="s">
        <v>5238</v>
      </c>
      <c r="C610" s="305">
        <v>2</v>
      </c>
      <c r="D610" s="297" t="s">
        <v>4121</v>
      </c>
      <c r="E610" s="297" t="str">
        <f t="shared" si="27"/>
        <v>Créature monstrueuse</v>
      </c>
      <c r="F610" s="297" t="str">
        <f>VLOOKUP(E610,'Types de monstres'!$A$2:$B$17,2,FALSE)</f>
        <v>MONSTROUS_CREATURE</v>
      </c>
      <c r="G610" s="297" t="str">
        <f t="shared" si="28"/>
        <v/>
      </c>
      <c r="H610" s="297" t="str">
        <f>IF(OR(G610="",G610="toute race"),"",VLOOKUP(G610,'Types de monstres'!$F$2:$G$49,2,FALSE))</f>
        <v/>
      </c>
      <c r="I610" s="297" t="s">
        <v>4091</v>
      </c>
      <c r="J610" s="302">
        <v>13</v>
      </c>
      <c r="K610" s="302">
        <v>33</v>
      </c>
      <c r="L610" s="297" t="s">
        <v>4092</v>
      </c>
      <c r="M610" s="297" t="s">
        <v>4137</v>
      </c>
      <c r="N610" s="297" t="str">
        <f>IF(M610="sans alignement","",IF(M610="tout alignement", """1_LB"", ""2_NB"", ""3_CB"", ""4_LN"", ""5_NN"", ""6_CN"", ""7_LM"", ""8_NM"", ""9_CM""",IF(M610="tout alignement non bon", """4_LN"", ""5_NN"", ""6_CN"", ""7_LM"", ""8_NM"", ""9_CM""",IF(M610="tout alignement mauvais", """7_LM"", ""8_NM"", ""9_CM""",IF(M610="tout alignement chaotique", """3_CB"", ""6_CN"", ""9_CM""",IF(M610="tout alignement non loyal", """2_NB"", ""3_CB"", ""5_NN"", ""6_CN"", ""8_NM"", ""9_CM""",""""&amp;VLOOKUP(M610,Alignements!$A$2:$B$10,2, FALSE)&amp;""""))))))</f>
        <v>"9_CM"</v>
      </c>
      <c r="O610" s="297"/>
      <c r="P610" t="str">
        <f t="shared" si="29"/>
        <v>"Péryton": {
  "Name" : "Péryton",
  "VO" : "Peryton",
  "Family" : "MONSTROUS_CREATURE",
  "Species" : [""],
  "FP" : "2", 
  "Size" : "M",
  "AC" : 13,
  "HP" : 33, 
  "Speed" : "vol",
  "Alignments" : ["9_CM"],
  "Legendary" : ""}</v>
      </c>
    </row>
    <row r="611" spans="1:16">
      <c r="A611" s="299" t="s">
        <v>5239</v>
      </c>
      <c r="B611" s="298" t="s">
        <v>5240</v>
      </c>
      <c r="C611" s="306">
        <v>1</v>
      </c>
      <c r="D611" s="298" t="s">
        <v>4181</v>
      </c>
      <c r="E611" s="297" t="str">
        <f t="shared" si="27"/>
        <v>Créature artificielle</v>
      </c>
      <c r="F611" s="297" t="str">
        <f>VLOOKUP(E611,'Types de monstres'!$A$2:$B$17,2,FALSE)</f>
        <v>ARTIFICIAL_CREATURE</v>
      </c>
      <c r="G611" s="297" t="str">
        <f t="shared" si="28"/>
        <v/>
      </c>
      <c r="H611" s="297" t="str">
        <f>IF(OR(G611="",G611="toute race"),"",VLOOKUP(G611,'Types de monstres'!$F$2:$G$49,2,FALSE))</f>
        <v/>
      </c>
      <c r="I611" s="298" t="s">
        <v>4091</v>
      </c>
      <c r="J611" s="300">
        <v>17</v>
      </c>
      <c r="K611" s="300">
        <v>19</v>
      </c>
      <c r="L611" s="298"/>
      <c r="M611" s="298" t="s">
        <v>4097</v>
      </c>
      <c r="N611" s="297" t="str">
        <f>IF(M611="sans alignement","",IF(M611="tout alignement", """1_LB"", ""2_NB"", ""3_CB"", ""4_LN"", ""5_NN"", ""6_CN"", ""7_LM"", ""8_NM"", ""9_CM""",IF(M611="tout alignement non bon", """4_LN"", ""5_NN"", ""6_CN"", ""7_LM"", ""8_NM"", ""9_CM""",IF(M611="tout alignement mauvais", """7_LM"", ""8_NM"", ""9_CM""",IF(M611="tout alignement chaotique", """3_CB"", ""6_CN"", ""9_CM""",IF(M611="tout alignement non loyal", """2_NB"", ""3_CB"", ""5_NN"", ""6_CN"", ""8_NM"", ""9_CM""",""""&amp;VLOOKUP(M611,Alignements!$A$2:$B$10,2, FALSE)&amp;""""))))))</f>
        <v>"7_LM"</v>
      </c>
      <c r="O611" s="298"/>
      <c r="P611" t="str">
        <f t="shared" si="29"/>
        <v>"Pétriféré": {
  "Name" : "Pétriféré",
  "VO" : "Stone Cursed",
  "Family" : "ARTIFICIAL_CREATURE",
  "Species" : [""],
  "FP" : "1", 
  "Size" : "M",
  "AC" : 17,
  "HP" : 19, 
  "Speed" : "",
  "Alignments" : ["7_LM"],
  "Legendary" : ""}</v>
      </c>
    </row>
    <row r="612" spans="1:16">
      <c r="A612" s="301" t="s">
        <v>5241</v>
      </c>
      <c r="B612" s="297" t="s">
        <v>5242</v>
      </c>
      <c r="C612" s="305">
        <v>16</v>
      </c>
      <c r="D612" s="297" t="s">
        <v>4189</v>
      </c>
      <c r="E612" s="297" t="str">
        <f t="shared" si="27"/>
        <v>Élémentaire</v>
      </c>
      <c r="F612" s="297" t="str">
        <f>VLOOKUP(E612,'Types de monstres'!$A$2:$B$17,2,FALSE)</f>
        <v>ELEMENTARY</v>
      </c>
      <c r="G612" s="297" t="str">
        <f t="shared" si="28"/>
        <v/>
      </c>
      <c r="H612" s="297" t="str">
        <f>IF(OR(G612="",G612="toute race"),"",VLOOKUP(G612,'Types de monstres'!$F$2:$G$49,2,FALSE))</f>
        <v/>
      </c>
      <c r="I612" s="297" t="s">
        <v>4371</v>
      </c>
      <c r="J612" s="302">
        <v>18</v>
      </c>
      <c r="K612" s="302">
        <v>175</v>
      </c>
      <c r="L612" s="297" t="s">
        <v>4092</v>
      </c>
      <c r="M612" s="297" t="s">
        <v>4193</v>
      </c>
      <c r="N612" s="297" t="str">
        <f>IF(M612="sans alignement","",IF(M612="tout alignement", """1_LB"", ""2_NB"", ""3_CB"", ""4_LN"", ""5_NN"", ""6_CN"", ""7_LM"", ""8_NM"", ""9_CM""",IF(M612="tout alignement non bon", """4_LN"", ""5_NN"", ""6_CN"", ""7_LM"", ""8_NM"", ""9_CM""",IF(M612="tout alignement mauvais", """7_LM"", ""8_NM"", ""9_CM""",IF(M612="tout alignement chaotique", """3_CB"", ""6_CN"", ""9_CM""",IF(M612="tout alignement non loyal", """2_NB"", ""3_CB"", ""5_NN"", ""6_CN"", ""8_NM"", ""9_CM""",""""&amp;VLOOKUP(M612,Alignements!$A$2:$B$10,2, FALSE)&amp;""""))))))</f>
        <v>"5_NN"</v>
      </c>
      <c r="O612" s="297"/>
      <c r="P612" t="str">
        <f t="shared" si="29"/>
        <v>"Phénix": {
  "Name" : "Phénix",
  "VO" : "Phoenix",
  "Family" : "ELEMENTARY",
  "Species" : [""],
  "FP" : "16", 
  "Size" : "Gig",
  "AC" : 18,
  "HP" : 175, 
  "Speed" : "vol",
  "Alignments" : ["5_NN"],
  "Legendary" : ""}</v>
      </c>
    </row>
    <row r="613" spans="1:16">
      <c r="A613" s="299" t="s">
        <v>5243</v>
      </c>
      <c r="B613" s="298" t="s">
        <v>5244</v>
      </c>
      <c r="C613" s="306">
        <v>3</v>
      </c>
      <c r="D613" s="298" t="s">
        <v>4121</v>
      </c>
      <c r="E613" s="297" t="str">
        <f t="shared" si="27"/>
        <v>Créature monstrueuse</v>
      </c>
      <c r="F613" s="297" t="str">
        <f>VLOOKUP(E613,'Types de monstres'!$A$2:$B$17,2,FALSE)</f>
        <v>MONSTROUS_CREATURE</v>
      </c>
      <c r="G613" s="297" t="str">
        <f t="shared" si="28"/>
        <v/>
      </c>
      <c r="H613" s="297" t="str">
        <f>IF(OR(G613="",G613="toute race"),"",VLOOKUP(G613,'Types de monstres'!$F$2:$G$49,2,FALSE))</f>
        <v/>
      </c>
      <c r="I613" s="298" t="s">
        <v>4112</v>
      </c>
      <c r="J613" s="300">
        <v>13</v>
      </c>
      <c r="K613" s="300">
        <v>85</v>
      </c>
      <c r="L613" s="298"/>
      <c r="M613" s="298" t="s">
        <v>4130</v>
      </c>
      <c r="N613" s="297" t="str">
        <f>IF(M613="sans alignement","",IF(M613="tout alignement", """1_LB"", ""2_NB"", ""3_CB"", ""4_LN"", ""5_NN"", ""6_CN"", ""7_LM"", ""8_NM"", ""9_CM""",IF(M613="tout alignement non bon", """4_LN"", ""5_NN"", ""6_CN"", ""7_LM"", ""8_NM"", ""9_CM""",IF(M613="tout alignement mauvais", """7_LM"", ""8_NM"", ""9_CM""",IF(M613="tout alignement chaotique", """3_CB"", ""6_CN"", ""9_CM""",IF(M613="tout alignement non loyal", """2_NB"", ""3_CB"", ""5_NN"", ""6_CN"", ""8_NM"", ""9_CM""",""""&amp;VLOOKUP(M613,Alignements!$A$2:$B$10,2, FALSE)&amp;""""))))))</f>
        <v/>
      </c>
      <c r="O613" s="298"/>
      <c r="P613" t="str">
        <f t="shared" si="29"/>
        <v>"Piégeur": {
  "Name" : "Piégeur",
  "VO" : "Trapper",
  "Family" : "MONSTROUS_CREATURE",
  "Species" : [""],
  "FP" : "3", 
  "Size" : "G",
  "AC" : 13,
  "HP" : 85, 
  "Speed" : "",
  "Alignments" : [],
  "Legendary" : ""}</v>
      </c>
    </row>
    <row r="614" spans="1:16">
      <c r="A614" s="61" t="s">
        <v>5245</v>
      </c>
      <c r="B614" s="297" t="s">
        <v>5246</v>
      </c>
      <c r="C614" s="305">
        <v>0</v>
      </c>
      <c r="D614" s="297" t="s">
        <v>4128</v>
      </c>
      <c r="E614" s="297" t="str">
        <f t="shared" si="27"/>
        <v>Bête</v>
      </c>
      <c r="F614" s="297" t="str">
        <f>VLOOKUP(E614,'Types de monstres'!$A$2:$B$17,2,FALSE)</f>
        <v>BEAST</v>
      </c>
      <c r="G614" s="297" t="str">
        <f t="shared" si="28"/>
        <v/>
      </c>
      <c r="H614" s="297" t="str">
        <f>IF(OR(G614="",G614="toute race"),"",VLOOKUP(G614,'Types de monstres'!$F$2:$G$49,2,FALSE))</f>
        <v/>
      </c>
      <c r="I614" s="297" t="s">
        <v>4129</v>
      </c>
      <c r="J614" s="302">
        <v>12</v>
      </c>
      <c r="K614" s="302">
        <v>3</v>
      </c>
      <c r="L614" s="297" t="s">
        <v>4113</v>
      </c>
      <c r="M614" s="297" t="s">
        <v>4130</v>
      </c>
      <c r="N614" s="297" t="str">
        <f>IF(M614="sans alignement","",IF(M614="tout alignement", """1_LB"", ""2_NB"", ""3_CB"", ""4_LN"", ""5_NN"", ""6_CN"", ""7_LM"", ""8_NM"", ""9_CM""",IF(M614="tout alignement non bon", """4_LN"", ""5_NN"", ""6_CN"", ""7_LM"", ""8_NM"", ""9_CM""",IF(M614="tout alignement mauvais", """7_LM"", ""8_NM"", ""9_CM""",IF(M614="tout alignement chaotique", """3_CB"", ""6_CN"", ""9_CM""",IF(M614="tout alignement non loyal", """2_NB"", ""3_CB"", ""5_NN"", ""6_CN"", ""8_NM"", ""9_CM""",""""&amp;VLOOKUP(M614,Alignements!$A$2:$B$10,2, FALSE)&amp;""""))))))</f>
        <v/>
      </c>
      <c r="O614" s="297"/>
      <c r="P614" t="str">
        <f t="shared" si="29"/>
        <v>"Pieuvre": {
  "Name" : "Pieuvre",
  "VO" : "Octopus",
  "Family" : "BEAST",
  "Species" : [""],
  "FP" : "0", 
  "Size" : "P",
  "AC" : 12,
  "HP" : 3, 
  "Speed" : "nage",
  "Alignments" : [],
  "Legendary" : ""}</v>
      </c>
    </row>
    <row r="615" spans="1:16">
      <c r="A615" s="61" t="s">
        <v>5247</v>
      </c>
      <c r="B615" s="298" t="s">
        <v>5248</v>
      </c>
      <c r="C615" s="306">
        <v>1</v>
      </c>
      <c r="D615" s="298" t="s">
        <v>4128</v>
      </c>
      <c r="E615" s="297" t="str">
        <f t="shared" si="27"/>
        <v>Bête</v>
      </c>
      <c r="F615" s="297" t="str">
        <f>VLOOKUP(E615,'Types de monstres'!$A$2:$B$17,2,FALSE)</f>
        <v>BEAST</v>
      </c>
      <c r="G615" s="297" t="str">
        <f t="shared" si="28"/>
        <v/>
      </c>
      <c r="H615" s="297" t="str">
        <f>IF(OR(G615="",G615="toute race"),"",VLOOKUP(G615,'Types de monstres'!$F$2:$G$49,2,FALSE))</f>
        <v/>
      </c>
      <c r="I615" s="298" t="s">
        <v>4112</v>
      </c>
      <c r="J615" s="300">
        <v>11</v>
      </c>
      <c r="K615" s="300">
        <v>52</v>
      </c>
      <c r="L615" s="298" t="s">
        <v>4113</v>
      </c>
      <c r="M615" s="298" t="s">
        <v>4130</v>
      </c>
      <c r="N615" s="297" t="str">
        <f>IF(M615="sans alignement","",IF(M615="tout alignement", """1_LB"", ""2_NB"", ""3_CB"", ""4_LN"", ""5_NN"", ""6_CN"", ""7_LM"", ""8_NM"", ""9_CM""",IF(M615="tout alignement non bon", """4_LN"", ""5_NN"", ""6_CN"", ""7_LM"", ""8_NM"", ""9_CM""",IF(M615="tout alignement mauvais", """7_LM"", ""8_NM"", ""9_CM""",IF(M615="tout alignement chaotique", """3_CB"", ""6_CN"", ""9_CM""",IF(M615="tout alignement non loyal", """2_NB"", ""3_CB"", ""5_NN"", ""6_CN"", ""8_NM"", ""9_CM""",""""&amp;VLOOKUP(M615,Alignements!$A$2:$B$10,2, FALSE)&amp;""""))))))</f>
        <v/>
      </c>
      <c r="O615" s="298"/>
      <c r="P615" t="str">
        <f t="shared" si="29"/>
        <v>"Pieuvre géante": {
  "Name" : "Pieuvre géante",
  "VO" : "Giant Octopus",
  "Family" : "BEAST",
  "Species" : [""],
  "FP" : "1", 
  "Size" : "G",
  "AC" : 11,
  "HP" : 52, 
  "Speed" : "nage",
  "Alignments" : [],
  "Legendary" : ""}</v>
      </c>
    </row>
    <row r="616" spans="1:16">
      <c r="A616" s="61" t="s">
        <v>5249</v>
      </c>
      <c r="B616" s="297" t="s">
        <v>5250</v>
      </c>
      <c r="C616" s="305">
        <v>0</v>
      </c>
      <c r="D616" s="297" t="s">
        <v>4128</v>
      </c>
      <c r="E616" s="297" t="str">
        <f t="shared" si="27"/>
        <v>Bête</v>
      </c>
      <c r="F616" s="297" t="str">
        <f>VLOOKUP(E616,'Types de monstres'!$A$2:$B$17,2,FALSE)</f>
        <v>BEAST</v>
      </c>
      <c r="G616" s="297" t="str">
        <f t="shared" si="28"/>
        <v/>
      </c>
      <c r="H616" s="297" t="str">
        <f>IF(OR(G616="",G616="toute race"),"",VLOOKUP(G616,'Types de monstres'!$F$2:$G$49,2,FALSE))</f>
        <v/>
      </c>
      <c r="I616" s="297" t="s">
        <v>4154</v>
      </c>
      <c r="J616" s="302">
        <v>13</v>
      </c>
      <c r="K616" s="302">
        <v>1</v>
      </c>
      <c r="L616" s="297" t="s">
        <v>4113</v>
      </c>
      <c r="M616" s="297" t="s">
        <v>4130</v>
      </c>
      <c r="N616" s="297" t="str">
        <f>IF(M616="sans alignement","",IF(M616="tout alignement", """1_LB"", ""2_NB"", ""3_CB"", ""4_LN"", ""5_NN"", ""6_CN"", ""7_LM"", ""8_NM"", ""9_CM""",IF(M616="tout alignement non bon", """4_LN"", ""5_NN"", ""6_CN"", ""7_LM"", ""8_NM"", ""9_CM""",IF(M616="tout alignement mauvais", """7_LM"", ""8_NM"", ""9_CM""",IF(M616="tout alignement chaotique", """3_CB"", ""6_CN"", ""9_CM""",IF(M616="tout alignement non loyal", """2_NB"", ""3_CB"", ""5_NN"", ""6_CN"", ""8_NM"", ""9_CM""",""""&amp;VLOOKUP(M616,Alignements!$A$2:$B$10,2, FALSE)&amp;""""))))))</f>
        <v/>
      </c>
      <c r="O616" s="297"/>
      <c r="P616" t="str">
        <f t="shared" si="29"/>
        <v>"Piranha": {
  "Name" : "Piranha",
  "VO" : "Quipper",
  "Family" : "BEAST",
  "Species" : [""],
  "FP" : "0", 
  "Size" : "TP",
  "AC" : 13,
  "HP" : 1, 
  "Speed" : "nage",
  "Alignments" : [],
  "Legendary" : ""}</v>
      </c>
    </row>
    <row r="617" spans="1:16">
      <c r="A617" s="61" t="s">
        <v>5251</v>
      </c>
      <c r="B617" s="298" t="s">
        <v>5251</v>
      </c>
      <c r="C617" s="306" t="s">
        <v>5618</v>
      </c>
      <c r="D617" s="298" t="s">
        <v>4253</v>
      </c>
      <c r="E617" s="297" t="str">
        <f t="shared" si="27"/>
        <v>Fée</v>
      </c>
      <c r="F617" s="297" t="str">
        <f>VLOOKUP(E617,'Types de monstres'!$A$2:$B$17,2,FALSE)</f>
        <v>FAIRY</v>
      </c>
      <c r="G617" s="297" t="str">
        <f t="shared" si="28"/>
        <v/>
      </c>
      <c r="H617" s="297" t="str">
        <f>IF(OR(G617="",G617="toute race"),"",VLOOKUP(G617,'Types de monstres'!$F$2:$G$49,2,FALSE))</f>
        <v/>
      </c>
      <c r="I617" s="298" t="s">
        <v>4154</v>
      </c>
      <c r="J617" s="300">
        <v>15</v>
      </c>
      <c r="K617" s="300">
        <v>1</v>
      </c>
      <c r="L617" s="298" t="s">
        <v>4092</v>
      </c>
      <c r="M617" s="298" t="s">
        <v>4093</v>
      </c>
      <c r="N617" s="297" t="str">
        <f>IF(M617="sans alignement","",IF(M617="tout alignement", """1_LB"", ""2_NB"", ""3_CB"", ""4_LN"", ""5_NN"", ""6_CN"", ""7_LM"", ""8_NM"", ""9_CM""",IF(M617="tout alignement non bon", """4_LN"", ""5_NN"", ""6_CN"", ""7_LM"", ""8_NM"", ""9_CM""",IF(M617="tout alignement mauvais", """7_LM"", ""8_NM"", ""9_CM""",IF(M617="tout alignement chaotique", """3_CB"", ""6_CN"", ""9_CM""",IF(M617="tout alignement non loyal", """2_NB"", ""3_CB"", ""5_NN"", ""6_CN"", ""8_NM"", ""9_CM""",""""&amp;VLOOKUP(M617,Alignements!$A$2:$B$10,2, FALSE)&amp;""""))))))</f>
        <v>"2_NB"</v>
      </c>
      <c r="O617" s="298"/>
      <c r="P617" t="str">
        <f t="shared" si="29"/>
        <v>"Pixie": {
  "Name" : "Pixie",
  "VO" : "Pixie",
  "Family" : "FAIRY",
  "Species" : [""],
  "FP" : "1/4", 
  "Size" : "TP",
  "AC" : 15,
  "HP" : 1, 
  "Speed" : "vol",
  "Alignments" : ["2_NB"],
  "Legendary" : ""}</v>
      </c>
    </row>
    <row r="618" spans="1:16">
      <c r="A618" s="61" t="s">
        <v>5252</v>
      </c>
      <c r="B618" s="297" t="s">
        <v>5253</v>
      </c>
      <c r="C618" s="305">
        <v>16</v>
      </c>
      <c r="D618" s="297" t="s">
        <v>2598</v>
      </c>
      <c r="E618" s="297" t="str">
        <f t="shared" si="27"/>
        <v>Céleste</v>
      </c>
      <c r="F618" s="297" t="str">
        <f>VLOOKUP(E618,'Types de monstres'!$A$2:$B$17,2,FALSE)</f>
        <v>CELESTIAL</v>
      </c>
      <c r="G618" s="297" t="str">
        <f t="shared" si="28"/>
        <v/>
      </c>
      <c r="H618" s="297" t="str">
        <f>IF(OR(G618="",G618="toute race"),"",VLOOKUP(G618,'Types de monstres'!$F$2:$G$49,2,FALSE))</f>
        <v/>
      </c>
      <c r="I618" s="297" t="s">
        <v>4112</v>
      </c>
      <c r="J618" s="302">
        <v>19</v>
      </c>
      <c r="K618" s="302">
        <v>200</v>
      </c>
      <c r="L618" s="297" t="s">
        <v>4092</v>
      </c>
      <c r="M618" s="297" t="s">
        <v>4318</v>
      </c>
      <c r="N618" s="297" t="str">
        <f>IF(M618="sans alignement","",IF(M618="tout alignement", """1_LB"", ""2_NB"", ""3_CB"", ""4_LN"", ""5_NN"", ""6_CN"", ""7_LM"", ""8_NM"", ""9_CM""",IF(M618="tout alignement non bon", """4_LN"", ""5_NN"", ""6_CN"", ""7_LM"", ""8_NM"", ""9_CM""",IF(M618="tout alignement mauvais", """7_LM"", ""8_NM"", ""9_CM""",IF(M618="tout alignement chaotique", """3_CB"", ""6_CN"", ""9_CM""",IF(M618="tout alignement non loyal", """2_NB"", ""3_CB"", ""5_NN"", ""6_CN"", ""8_NM"", ""9_CM""",""""&amp;VLOOKUP(M618,Alignements!$A$2:$B$10,2, FALSE)&amp;""""))))))</f>
        <v>"1_LB"</v>
      </c>
      <c r="O618" s="297"/>
      <c r="P618" t="str">
        <f t="shared" si="29"/>
        <v>"Planétar": {
  "Name" : "Planétar",
  "VO" : "Planetar",
  "Family" : "CELESTIAL",
  "Species" : [""],
  "FP" : "16", 
  "Size" : "G",
  "AC" : 19,
  "HP" : 200, 
  "Speed" : "vol",
  "Alignments" : ["1_LB"],
  "Legendary" : ""}</v>
      </c>
    </row>
    <row r="619" spans="1:16">
      <c r="A619" s="61" t="s">
        <v>5254</v>
      </c>
      <c r="B619" s="298" t="s">
        <v>5255</v>
      </c>
      <c r="C619" s="306">
        <v>2</v>
      </c>
      <c r="D619" s="298" t="s">
        <v>4128</v>
      </c>
      <c r="E619" s="297" t="str">
        <f t="shared" si="27"/>
        <v>Bête</v>
      </c>
      <c r="F619" s="297" t="str">
        <f>VLOOKUP(E619,'Types de monstres'!$A$2:$B$17,2,FALSE)</f>
        <v>BEAST</v>
      </c>
      <c r="G619" s="297" t="str">
        <f t="shared" si="28"/>
        <v/>
      </c>
      <c r="H619" s="297" t="str">
        <f>IF(OR(G619="",G619="toute race"),"",VLOOKUP(G619,'Types de monstres'!$F$2:$G$49,2,FALSE))</f>
        <v/>
      </c>
      <c r="I619" s="298" t="s">
        <v>4112</v>
      </c>
      <c r="J619" s="300">
        <v>13</v>
      </c>
      <c r="K619" s="300">
        <v>68</v>
      </c>
      <c r="L619" s="298" t="s">
        <v>4113</v>
      </c>
      <c r="M619" s="298" t="s">
        <v>4130</v>
      </c>
      <c r="N619" s="297" t="str">
        <f>IF(M619="sans alignement","",IF(M619="tout alignement", """1_LB"", ""2_NB"", ""3_CB"", ""4_LN"", ""5_NN"", ""6_CN"", ""7_LM"", ""8_NM"", ""9_CM""",IF(M619="tout alignement non bon", """4_LN"", ""5_NN"", ""6_CN"", ""7_LM"", ""8_NM"", ""9_CM""",IF(M619="tout alignement mauvais", """7_LM"", ""8_NM"", ""9_CM""",IF(M619="tout alignement chaotique", """3_CB"", ""6_CN"", ""9_CM""",IF(M619="tout alignement non loyal", """2_NB"", ""3_CB"", ""5_NN"", ""6_CN"", ""8_NM"", ""9_CM""",""""&amp;VLOOKUP(M619,Alignements!$A$2:$B$10,2, FALSE)&amp;""""))))))</f>
        <v/>
      </c>
      <c r="O619" s="298"/>
      <c r="P619" t="str">
        <f t="shared" si="29"/>
        <v>"Plésiosaure": {
  "Name" : "Plésiosaure",
  "VO" : "Plesiosaurus",
  "Family" : "BEAST",
  "Species" : [""],
  "FP" : "2", 
  "Size" : "G",
  "AC" : 13,
  "HP" : 68, 
  "Speed" : "nage",
  "Alignments" : [],
  "Legendary" : ""}</v>
      </c>
    </row>
    <row r="620" spans="1:16">
      <c r="A620" s="61" t="s">
        <v>5256</v>
      </c>
      <c r="B620" s="297" t="s">
        <v>5257</v>
      </c>
      <c r="C620" s="305" t="s">
        <v>5620</v>
      </c>
      <c r="D620" s="297" t="s">
        <v>4242</v>
      </c>
      <c r="E620" s="297" t="str">
        <f t="shared" si="27"/>
        <v>Humanoïde</v>
      </c>
      <c r="F620" s="297" t="str">
        <f>VLOOKUP(E620,'Types de monstres'!$A$2:$B$17,2,FALSE)</f>
        <v>HUMANOID</v>
      </c>
      <c r="G620" s="297" t="str">
        <f t="shared" si="28"/>
        <v>humain</v>
      </c>
      <c r="H620" s="297" t="str">
        <f>IF(OR(G620="",G620="toute race"),"",VLOOKUP(G620,'Types de monstres'!$F$2:$G$49,2,FALSE))</f>
        <v>HUMAN</v>
      </c>
      <c r="I620" s="297" t="s">
        <v>4091</v>
      </c>
      <c r="J620" s="302">
        <v>18</v>
      </c>
      <c r="K620" s="302">
        <v>22</v>
      </c>
      <c r="L620" s="297"/>
      <c r="M620" s="297" t="s">
        <v>4097</v>
      </c>
      <c r="N620" s="297" t="str">
        <f>IF(M620="sans alignement","",IF(M620="tout alignement", """1_LB"", ""2_NB"", ""3_CB"", ""4_LN"", ""5_NN"", ""6_CN"", ""7_LM"", ""8_NM"", ""9_CM""",IF(M620="tout alignement non bon", """4_LN"", ""5_NN"", ""6_CN"", ""7_LM"", ""8_NM"", ""9_CM""",IF(M620="tout alignement mauvais", """7_LM"", ""8_NM"", ""9_CM""",IF(M620="tout alignement chaotique", """3_CB"", ""6_CN"", ""9_CM""",IF(M620="tout alignement non loyal", """2_NB"", ""3_CB"", ""5_NN"", ""6_CN"", ""8_NM"", ""9_CM""",""""&amp;VLOOKUP(M620,Alignements!$A$2:$B$10,2, FALSE)&amp;""""))))))</f>
        <v>"7_LM"</v>
      </c>
      <c r="O620" s="297"/>
      <c r="P620" t="str">
        <f t="shared" si="29"/>
        <v>"Poing de Baine": {
  "Name" : "Poing de Baine",
  "VO" : "Fist of Bane",
  "Family" : "HUMANOID",
  "Species" : ["HUMAN"],
  "FP" : "1/2", 
  "Size" : "M",
  "AC" : 18,
  "HP" : 22, 
  "Speed" : "",
  "Alignments" : ["7_LM"],
  "Legendary" : ""}</v>
      </c>
    </row>
    <row r="621" spans="1:16">
      <c r="A621" s="61" t="s">
        <v>765</v>
      </c>
      <c r="B621" s="298" t="s">
        <v>5258</v>
      </c>
      <c r="C621" s="306" t="s">
        <v>5619</v>
      </c>
      <c r="D621" s="298" t="s">
        <v>4128</v>
      </c>
      <c r="E621" s="297" t="str">
        <f t="shared" si="27"/>
        <v>Bête</v>
      </c>
      <c r="F621" s="297" t="str">
        <f>VLOOKUP(E621,'Types de monstres'!$A$2:$B$17,2,FALSE)</f>
        <v>BEAST</v>
      </c>
      <c r="G621" s="297" t="str">
        <f t="shared" si="28"/>
        <v/>
      </c>
      <c r="H621" s="297" t="str">
        <f>IF(OR(G621="",G621="toute race"),"",VLOOKUP(G621,'Types de monstres'!$F$2:$G$49,2,FALSE))</f>
        <v/>
      </c>
      <c r="I621" s="298" t="s">
        <v>4091</v>
      </c>
      <c r="J621" s="300">
        <v>10</v>
      </c>
      <c r="K621" s="300">
        <v>11</v>
      </c>
      <c r="L621" s="298"/>
      <c r="M621" s="298" t="s">
        <v>4130</v>
      </c>
      <c r="N621" s="297" t="str">
        <f>IF(M621="sans alignement","",IF(M621="tout alignement", """1_LB"", ""2_NB"", ""3_CB"", ""4_LN"", ""5_NN"", ""6_CN"", ""7_LM"", ""8_NM"", ""9_CM""",IF(M621="tout alignement non bon", """4_LN"", ""5_NN"", ""6_CN"", ""7_LM"", ""8_NM"", ""9_CM""",IF(M621="tout alignement mauvais", """7_LM"", ""8_NM"", ""9_CM""",IF(M621="tout alignement chaotique", """3_CB"", ""6_CN"", ""9_CM""",IF(M621="tout alignement non loyal", """2_NB"", ""3_CB"", ""5_NN"", ""6_CN"", ""8_NM"", ""9_CM""",""""&amp;VLOOKUP(M621,Alignements!$A$2:$B$10,2, FALSE)&amp;""""))))))</f>
        <v/>
      </c>
      <c r="O621" s="298"/>
      <c r="P621" t="str">
        <f t="shared" si="29"/>
        <v>"Poney": {
  "Name" : "Poney",
  "VO" : "Pony",
  "Family" : "BEAST",
  "Species" : [""],
  "FP" : "1/8", 
  "Size" : "M",
  "AC" : 10,
  "HP" : 11, 
  "Speed" : "",
  "Alignments" : [],
  "Legendary" : ""}</v>
      </c>
    </row>
    <row r="622" spans="1:16">
      <c r="A622" s="61" t="s">
        <v>5259</v>
      </c>
      <c r="B622" s="297" t="s">
        <v>5260</v>
      </c>
      <c r="C622" s="305">
        <v>4</v>
      </c>
      <c r="D622" s="297" t="s">
        <v>4376</v>
      </c>
      <c r="E622" s="297" t="str">
        <f t="shared" si="27"/>
        <v>Vase</v>
      </c>
      <c r="F622" s="297" t="str">
        <f>VLOOKUP(E622,'Types de monstres'!$A$2:$B$17,2,FALSE)</f>
        <v>MUD</v>
      </c>
      <c r="G622" s="297" t="str">
        <f t="shared" si="28"/>
        <v/>
      </c>
      <c r="H622" s="297" t="str">
        <f>IF(OR(G622="",G622="toute race"),"",VLOOKUP(G622,'Types de monstres'!$F$2:$G$49,2,FALSE))</f>
        <v/>
      </c>
      <c r="I622" s="297" t="s">
        <v>4112</v>
      </c>
      <c r="J622" s="302">
        <v>7</v>
      </c>
      <c r="K622" s="302">
        <v>85</v>
      </c>
      <c r="L622" s="297"/>
      <c r="M622" s="297" t="s">
        <v>4130</v>
      </c>
      <c r="N622" s="297" t="str">
        <f>IF(M622="sans alignement","",IF(M622="tout alignement", """1_LB"", ""2_NB"", ""3_CB"", ""4_LN"", ""5_NN"", ""6_CN"", ""7_LM"", ""8_NM"", ""9_CM""",IF(M622="tout alignement non bon", """4_LN"", ""5_NN"", ""6_CN"", ""7_LM"", ""8_NM"", ""9_CM""",IF(M622="tout alignement mauvais", """7_LM"", ""8_NM"", ""9_CM""",IF(M622="tout alignement chaotique", """3_CB"", ""6_CN"", ""9_CM""",IF(M622="tout alignement non loyal", """2_NB"", ""3_CB"", ""5_NN"", ""6_CN"", ""8_NM"", ""9_CM""",""""&amp;VLOOKUP(M622,Alignements!$A$2:$B$10,2, FALSE)&amp;""""))))))</f>
        <v/>
      </c>
      <c r="O622" s="297"/>
      <c r="P622" t="str">
        <f t="shared" si="29"/>
        <v>"Pouding noir": {
  "Name" : "Pouding noir",
  "VO" : "Black Pudding",
  "Family" : "MUD",
  "Species" : [""],
  "FP" : "4", 
  "Size" : "G",
  "AC" : 7,
  "HP" : 85, 
  "Speed" : "",
  "Alignments" : [],
  "Legendary" : ""}</v>
      </c>
    </row>
    <row r="623" spans="1:16">
      <c r="A623" s="299" t="s">
        <v>5261</v>
      </c>
      <c r="B623" s="298" t="s">
        <v>5262</v>
      </c>
      <c r="C623" s="306">
        <v>16</v>
      </c>
      <c r="D623" s="298" t="s">
        <v>4181</v>
      </c>
      <c r="E623" s="297" t="str">
        <f t="shared" si="27"/>
        <v>Créature artificielle</v>
      </c>
      <c r="F623" s="297" t="str">
        <f>VLOOKUP(E623,'Types de monstres'!$A$2:$B$17,2,FALSE)</f>
        <v>ARTIFICIAL_CREATURE</v>
      </c>
      <c r="G623" s="297" t="str">
        <f t="shared" si="28"/>
        <v/>
      </c>
      <c r="H623" s="297" t="str">
        <f>IF(OR(G623="",G623="toute race"),"",VLOOKUP(G623,'Types de monstres'!$F$2:$G$49,2,FALSE))</f>
        <v/>
      </c>
      <c r="I623" s="298" t="s">
        <v>4112</v>
      </c>
      <c r="J623" s="300">
        <v>20</v>
      </c>
      <c r="K623" s="300">
        <v>207</v>
      </c>
      <c r="L623" s="298"/>
      <c r="M623" s="298" t="s">
        <v>4097</v>
      </c>
      <c r="N623" s="297" t="str">
        <f>IF(M623="sans alignement","",IF(M623="tout alignement", """1_LB"", ""2_NB"", ""3_CB"", ""4_LN"", ""5_NN"", ""6_CN"", ""7_LM"", ""8_NM"", ""9_CM""",IF(M623="tout alignement non bon", """4_LN"", ""5_NN"", ""6_CN"", ""7_LM"", ""8_NM"", ""9_CM""",IF(M623="tout alignement mauvais", """7_LM"", ""8_NM"", ""9_CM""",IF(M623="tout alignement chaotique", """3_CB"", ""6_CN"", ""9_CM""",IF(M623="tout alignement non loyal", """2_NB"", ""3_CB"", ""5_NN"", ""6_CN"", ""8_NM"", ""9_CM""",""""&amp;VLOOKUP(M623,Alignements!$A$2:$B$10,2, FALSE)&amp;""""))))))</f>
        <v>"7_LM"</v>
      </c>
      <c r="O623" s="298"/>
      <c r="P623" t="str">
        <f t="shared" si="29"/>
        <v>"Prédateur d'acier": {
  "Name" : "Prédateur d'acier",
  "VO" : "Steel Predator",
  "Family" : "ARTIFICIAL_CREATURE",
  "Species" : [""],
  "FP" : "16", 
  "Size" : "G",
  "AC" : 20,
  "HP" : 207, 
  "Speed" : "",
  "Alignments" : ["7_LM"],
  "Legendary" : ""}</v>
      </c>
    </row>
    <row r="624" spans="1:16">
      <c r="A624" s="301" t="s">
        <v>5263</v>
      </c>
      <c r="B624" s="297" t="s">
        <v>5264</v>
      </c>
      <c r="C624" s="305">
        <v>1</v>
      </c>
      <c r="D624" s="297" t="s">
        <v>4253</v>
      </c>
      <c r="E624" s="297" t="str">
        <f t="shared" si="27"/>
        <v>Fée</v>
      </c>
      <c r="F624" s="297" t="str">
        <f>VLOOKUP(E624,'Types de monstres'!$A$2:$B$17,2,FALSE)</f>
        <v>FAIRY</v>
      </c>
      <c r="G624" s="297" t="str">
        <f t="shared" si="28"/>
        <v/>
      </c>
      <c r="H624" s="297" t="str">
        <f>IF(OR(G624="",G624="toute race"),"",VLOOKUP(G624,'Types de monstres'!$F$2:$G$49,2,FALSE))</f>
        <v/>
      </c>
      <c r="I624" s="297" t="s">
        <v>4154</v>
      </c>
      <c r="J624" s="302">
        <v>16</v>
      </c>
      <c r="K624" s="302">
        <v>10</v>
      </c>
      <c r="L624" s="297"/>
      <c r="M624" s="297" t="s">
        <v>4137</v>
      </c>
      <c r="N624" s="297" t="str">
        <f>IF(M624="sans alignement","",IF(M624="tout alignement", """1_LB"", ""2_NB"", ""3_CB"", ""4_LN"", ""5_NN"", ""6_CN"", ""7_LM"", ""8_NM"", ""9_CM""",IF(M624="tout alignement non bon", """4_LN"", ""5_NN"", ""6_CN"", ""7_LM"", ""8_NM"", ""9_CM""",IF(M624="tout alignement mauvais", """7_LM"", ""8_NM"", ""9_CM""",IF(M624="tout alignement chaotique", """3_CB"", ""6_CN"", ""9_CM""",IF(M624="tout alignement non loyal", """2_NB"", ""3_CB"", ""5_NN"", ""6_CN"", ""8_NM"", ""9_CM""",""""&amp;VLOOKUP(M624,Alignements!$A$2:$B$10,2, FALSE)&amp;""""))))))</f>
        <v>"9_CM"</v>
      </c>
      <c r="O624" s="297"/>
      <c r="P624" t="str">
        <f t="shared" si="29"/>
        <v>"Prestelet": {
  "Name" : "Prestelet",
  "VO" : "Quickling",
  "Family" : "FAIRY",
  "Species" : [""],
  "FP" : "1", 
  "Size" : "TP",
  "AC" : 16,
  "HP" : 10, 
  "Speed" : "",
  "Alignments" : ["9_CM"],
  "Legendary" : ""}</v>
      </c>
    </row>
    <row r="625" spans="1:16">
      <c r="A625" s="61" t="s">
        <v>5265</v>
      </c>
      <c r="B625" s="298" t="s">
        <v>5266</v>
      </c>
      <c r="C625" s="306">
        <v>2</v>
      </c>
      <c r="D625" s="298" t="s">
        <v>4108</v>
      </c>
      <c r="E625" s="297" t="str">
        <f t="shared" si="27"/>
        <v>Humanoïde</v>
      </c>
      <c r="F625" s="297" t="str">
        <f>VLOOKUP(E625,'Types de monstres'!$A$2:$B$17,2,FALSE)</f>
        <v>HUMANOID</v>
      </c>
      <c r="G625" s="297" t="str">
        <f t="shared" si="28"/>
        <v>toute race</v>
      </c>
      <c r="H625" s="297" t="str">
        <f>IF(OR(G625="",G625="toute race"),"",VLOOKUP(G625,'Types de monstres'!$F$2:$G$49,2,FALSE))</f>
        <v/>
      </c>
      <c r="I625" s="298" t="s">
        <v>4091</v>
      </c>
      <c r="J625" s="300">
        <v>13</v>
      </c>
      <c r="K625" s="300">
        <v>27</v>
      </c>
      <c r="L625" s="298"/>
      <c r="M625" s="298" t="s">
        <v>4109</v>
      </c>
      <c r="N625" s="297" t="str">
        <f>IF(M625="sans alignement","",IF(M625="tout alignement", """1_LB"", ""2_NB"", ""3_CB"", ""4_LN"", ""5_NN"", ""6_CN"", ""7_LM"", ""8_NM"", ""9_CM""",IF(M625="tout alignement non bon", """4_LN"", ""5_NN"", ""6_CN"", ""7_LM"", ""8_NM"", ""9_CM""",IF(M625="tout alignement mauvais", """7_LM"", ""8_NM"", ""9_CM""",IF(M625="tout alignement chaotique", """3_CB"", ""6_CN"", ""9_CM""",IF(M625="tout alignement non loyal", """2_NB"", ""3_CB"", ""5_NN"", ""6_CN"", ""8_NM"", ""9_CM""",""""&amp;VLOOKUP(M625,Alignements!$A$2:$B$10,2, FALSE)&amp;""""))))))</f>
        <v>"1_LB", "2_NB", "3_CB", "4_LN", "5_NN", "6_CN", "7_LM", "8_NM", "9_CM"</v>
      </c>
      <c r="O625" s="298"/>
      <c r="P625" t="str">
        <f t="shared" si="29"/>
        <v>"Prêtre": {
  "Name" : "Prêtre",
  "VO" : "Priest",
  "Family" : "HUMANOID",
  "Species" : [""],
  "FP" : "2", 
  "Size" : "M",
  "AC" : 13,
  "HP" : 27, 
  "Speed" : "",
  "Alignments" : ["1_LB", "2_NB", "3_CB", "4_LN", "5_NN", "6_CN", "7_LM", "8_NM", "9_CM"],
  "Legendary" : ""}</v>
      </c>
    </row>
    <row r="626" spans="1:16">
      <c r="A626" s="61" t="s">
        <v>3372</v>
      </c>
      <c r="B626" s="297" t="s">
        <v>5267</v>
      </c>
      <c r="C626" s="305">
        <v>9</v>
      </c>
      <c r="D626" s="297" t="s">
        <v>4108</v>
      </c>
      <c r="E626" s="297" t="str">
        <f t="shared" si="27"/>
        <v>Humanoïde</v>
      </c>
      <c r="F626" s="297" t="str">
        <f>VLOOKUP(E626,'Types de monstres'!$A$2:$B$17,2,FALSE)</f>
        <v>HUMANOID</v>
      </c>
      <c r="G626" s="297" t="str">
        <f t="shared" si="28"/>
        <v>toute race</v>
      </c>
      <c r="H626" s="297" t="str">
        <f>IF(OR(G626="",G626="toute race"),"",VLOOKUP(G626,'Types de monstres'!$F$2:$G$49,2,FALSE))</f>
        <v/>
      </c>
      <c r="I626" s="297" t="s">
        <v>4091</v>
      </c>
      <c r="J626" s="302">
        <v>18</v>
      </c>
      <c r="K626" s="302">
        <v>117</v>
      </c>
      <c r="L626" s="297"/>
      <c r="M626" s="297" t="s">
        <v>4109</v>
      </c>
      <c r="N626" s="297" t="str">
        <f>IF(M626="sans alignement","",IF(M626="tout alignement", """1_LB"", ""2_NB"", ""3_CB"", ""4_LN"", ""5_NN"", ""6_CN"", ""7_LM"", ""8_NM"", ""9_CM""",IF(M626="tout alignement non bon", """4_LN"", ""5_NN"", ""6_CN"", ""7_LM"", ""8_NM"", ""9_CM""",IF(M626="tout alignement mauvais", """7_LM"", ""8_NM"", ""9_CM""",IF(M626="tout alignement chaotique", """3_CB"", ""6_CN"", ""9_CM""",IF(M626="tout alignement non loyal", """2_NB"", ""3_CB"", ""5_NN"", ""6_CN"", ""8_NM"", ""9_CM""",""""&amp;VLOOKUP(M626,Alignements!$A$2:$B$10,2, FALSE)&amp;""""))))))</f>
        <v>"1_LB", "2_NB", "3_CB", "4_LN", "5_NN", "6_CN", "7_LM", "8_NM", "9_CM"</v>
      </c>
      <c r="O626" s="297"/>
      <c r="P626" t="str">
        <f t="shared" si="29"/>
        <v>"Prêtre de guerre": {
  "Name" : "Prêtre de guerre",
  "VO" : "War priest",
  "Family" : "HUMANOID",
  "Species" : [""],
  "FP" : "9", 
  "Size" : "M",
  "AC" : 18,
  "HP" : 117, 
  "Speed" : "",
  "Alignments" : ["1_LB", "2_NB", "3_CB", "4_LN", "5_NN", "6_CN", "7_LM", "8_NM", "9_CM"],
  "Legendary" : ""}</v>
      </c>
    </row>
    <row r="627" spans="1:16" ht="21">
      <c r="A627" s="61" t="s">
        <v>5268</v>
      </c>
      <c r="B627" s="298" t="s">
        <v>5269</v>
      </c>
      <c r="C627" s="306">
        <v>5</v>
      </c>
      <c r="D627" s="298" t="s">
        <v>4108</v>
      </c>
      <c r="E627" s="297" t="str">
        <f t="shared" si="27"/>
        <v>Humanoïde</v>
      </c>
      <c r="F627" s="297" t="str">
        <f>VLOOKUP(E627,'Types de monstres'!$A$2:$B$17,2,FALSE)</f>
        <v>HUMANOID</v>
      </c>
      <c r="G627" s="297" t="str">
        <f t="shared" si="28"/>
        <v>toute race</v>
      </c>
      <c r="H627" s="297" t="str">
        <f>IF(OR(G627="",G627="toute race"),"",VLOOKUP(G627,'Types de monstres'!$F$2:$G$49,2,FALSE))</f>
        <v/>
      </c>
      <c r="I627" s="298" t="s">
        <v>4091</v>
      </c>
      <c r="J627" s="300">
        <v>10</v>
      </c>
      <c r="K627" s="300">
        <v>75</v>
      </c>
      <c r="L627" s="298" t="s">
        <v>4113</v>
      </c>
      <c r="M627" s="298" t="s">
        <v>4134</v>
      </c>
      <c r="N627" s="297" t="str">
        <f>IF(M627="sans alignement","",IF(M627="tout alignement", """1_LB"", ""2_NB"", ""3_CB"", ""4_LN"", ""5_NN"", ""6_CN"", ""7_LM"", ""8_NM"", ""9_CM""",IF(M627="tout alignement non bon", """4_LN"", ""5_NN"", ""6_CN"", ""7_LM"", ""8_NM"", ""9_CM""",IF(M627="tout alignement mauvais", """7_LM"", ""8_NM"", ""9_CM""",IF(M627="tout alignement chaotique", """3_CB"", ""6_CN"", ""9_CM""",IF(M627="tout alignement non loyal", """2_NB"", ""3_CB"", ""5_NN"", ""6_CN"", ""8_NM"", ""9_CM""",""""&amp;VLOOKUP(M627,Alignements!$A$2:$B$10,2, FALSE)&amp;""""))))))</f>
        <v>"7_LM", "8_NM", "9_CM"</v>
      </c>
      <c r="O627" s="298"/>
      <c r="P627" t="str">
        <f t="shared" si="29"/>
        <v>"Prêtre du kraken": {
  "Name" : "Prêtre du kraken",
  "VO" : "Kraken Priest",
  "Family" : "HUMANOID",
  "Species" : [""],
  "FP" : "5", 
  "Size" : "M",
  "AC" : 10,
  "HP" : 75, 
  "Speed" : "nage",
  "Alignments" : ["7_LM", "8_NM", "9_CM"],
  "Legendary" : ""}</v>
      </c>
    </row>
    <row r="628" spans="1:16">
      <c r="A628" s="61" t="s">
        <v>5270</v>
      </c>
      <c r="B628" s="297" t="s">
        <v>5271</v>
      </c>
      <c r="C628" s="305">
        <v>1</v>
      </c>
      <c r="D628" s="297" t="s">
        <v>4181</v>
      </c>
      <c r="E628" s="297" t="str">
        <f t="shared" si="27"/>
        <v>Créature artificielle</v>
      </c>
      <c r="F628" s="297" t="str">
        <f>VLOOKUP(E628,'Types de monstres'!$A$2:$B$17,2,FALSE)</f>
        <v>ARTIFICIAL_CREATURE</v>
      </c>
      <c r="G628" s="297" t="str">
        <f t="shared" si="28"/>
        <v/>
      </c>
      <c r="H628" s="297" t="str">
        <f>IF(OR(G628="",G628="toute race"),"",VLOOKUP(G628,'Types de monstres'!$F$2:$G$49,2,FALSE))</f>
        <v/>
      </c>
      <c r="I628" s="297" t="s">
        <v>4091</v>
      </c>
      <c r="J628" s="302">
        <v>17</v>
      </c>
      <c r="K628" s="302">
        <v>30</v>
      </c>
      <c r="L628" s="297"/>
      <c r="M628" s="297" t="s">
        <v>4193</v>
      </c>
      <c r="N628" s="297" t="str">
        <f>IF(M628="sans alignement","",IF(M628="tout alignement", """1_LB"", ""2_NB"", ""3_CB"", ""4_LN"", ""5_NN"", ""6_CN"", ""7_LM"", ""8_NM"", ""9_CM""",IF(M628="tout alignement non bon", """4_LN"", ""5_NN"", ""6_CN"", ""7_LM"", ""8_NM"", ""9_CM""",IF(M628="tout alignement mauvais", """7_LM"", ""8_NM"", ""9_CM""",IF(M628="tout alignement chaotique", """3_CB"", ""6_CN"", ""9_CM""",IF(M628="tout alignement non loyal", """2_NB"", ""3_CB"", ""5_NN"", ""6_CN"", ""8_NM"", ""9_CM""",""""&amp;VLOOKUP(M628,Alignements!$A$2:$B$10,2, FALSE)&amp;""""))))))</f>
        <v>"5_NN"</v>
      </c>
      <c r="O628" s="297"/>
      <c r="P628" t="str">
        <f t="shared" si="29"/>
        <v>"Protecteur de fer": {
  "Name" : "Protecteur de fer",
  "VO" : "Iron Defender",
  "Family" : "ARTIFICIAL_CREATURE",
  "Species" : [""],
  "FP" : "1", 
  "Size" : "M",
  "AC" : 17,
  "HP" : 30, 
  "Speed" : "",
  "Alignments" : ["5_NN"],
  "Legendary" : ""}</v>
      </c>
    </row>
    <row r="629" spans="1:16">
      <c r="A629" s="61" t="s">
        <v>5272</v>
      </c>
      <c r="B629" s="298" t="s">
        <v>5272</v>
      </c>
      <c r="C629" s="306" t="s">
        <v>5618</v>
      </c>
      <c r="D629" s="298" t="s">
        <v>4451</v>
      </c>
      <c r="E629" s="297" t="str">
        <f t="shared" si="27"/>
        <v>Dragon</v>
      </c>
      <c r="F629" s="297" t="str">
        <f>VLOOKUP(E629,'Types de monstres'!$A$2:$B$17,2,FALSE)</f>
        <v>DRAGON</v>
      </c>
      <c r="G629" s="297" t="str">
        <f t="shared" si="28"/>
        <v/>
      </c>
      <c r="H629" s="297" t="str">
        <f>IF(OR(G629="",G629="toute race"),"",VLOOKUP(G629,'Types de monstres'!$F$2:$G$49,2,FALSE))</f>
        <v/>
      </c>
      <c r="I629" s="298" t="s">
        <v>4154</v>
      </c>
      <c r="J629" s="300">
        <v>13</v>
      </c>
      <c r="K629" s="300">
        <v>7</v>
      </c>
      <c r="L629" s="298" t="s">
        <v>4092</v>
      </c>
      <c r="M629" s="298" t="s">
        <v>4093</v>
      </c>
      <c r="N629" s="297" t="str">
        <f>IF(M629="sans alignement","",IF(M629="tout alignement", """1_LB"", ""2_NB"", ""3_CB"", ""4_LN"", ""5_NN"", ""6_CN"", ""7_LM"", ""8_NM"", ""9_CM""",IF(M629="tout alignement non bon", """4_LN"", ""5_NN"", ""6_CN"", ""7_LM"", ""8_NM"", ""9_CM""",IF(M629="tout alignement mauvais", """7_LM"", ""8_NM"", ""9_CM""",IF(M629="tout alignement chaotique", """3_CB"", ""6_CN"", ""9_CM""",IF(M629="tout alignement non loyal", """2_NB"", ""3_CB"", ""5_NN"", ""6_CN"", ""8_NM"", ""9_CM""",""""&amp;VLOOKUP(M629,Alignements!$A$2:$B$10,2, FALSE)&amp;""""))))))</f>
        <v>"2_NB"</v>
      </c>
      <c r="O629" s="298"/>
      <c r="P629" t="str">
        <f t="shared" si="29"/>
        <v>"Pseudodragon": {
  "Name" : "Pseudodragon",
  "VO" : "Pseudodragon",
  "Family" : "DRAGON",
  "Species" : [""],
  "FP" : "1/4", 
  "Size" : "TP",
  "AC" : 13,
  "HP" : 7, 
  "Speed" : "vol",
  "Alignments" : ["2_NB"],
  "Legendary" : ""}</v>
      </c>
    </row>
    <row r="630" spans="1:16">
      <c r="A630" s="61" t="s">
        <v>5273</v>
      </c>
      <c r="B630" s="297" t="s">
        <v>5274</v>
      </c>
      <c r="C630" s="305" t="s">
        <v>5618</v>
      </c>
      <c r="D630" s="297" t="s">
        <v>4128</v>
      </c>
      <c r="E630" s="297" t="str">
        <f t="shared" si="27"/>
        <v>Bête</v>
      </c>
      <c r="F630" s="297" t="str">
        <f>VLOOKUP(E630,'Types de monstres'!$A$2:$B$17,2,FALSE)</f>
        <v>BEAST</v>
      </c>
      <c r="G630" s="297" t="str">
        <f t="shared" si="28"/>
        <v/>
      </c>
      <c r="H630" s="297" t="str">
        <f>IF(OR(G630="",G630="toute race"),"",VLOOKUP(G630,'Types de monstres'!$F$2:$G$49,2,FALSE))</f>
        <v/>
      </c>
      <c r="I630" s="297" t="s">
        <v>4091</v>
      </c>
      <c r="J630" s="302">
        <v>13</v>
      </c>
      <c r="K630" s="302">
        <v>13</v>
      </c>
      <c r="L630" s="297" t="s">
        <v>4092</v>
      </c>
      <c r="M630" s="297" t="s">
        <v>4130</v>
      </c>
      <c r="N630" s="297" t="str">
        <f>IF(M630="sans alignement","",IF(M630="tout alignement", """1_LB"", ""2_NB"", ""3_CB"", ""4_LN"", ""5_NN"", ""6_CN"", ""7_LM"", ""8_NM"", ""9_CM""",IF(M630="tout alignement non bon", """4_LN"", ""5_NN"", ""6_CN"", ""7_LM"", ""8_NM"", ""9_CM""",IF(M630="tout alignement mauvais", """7_LM"", ""8_NM"", ""9_CM""",IF(M630="tout alignement chaotique", """3_CB"", ""6_CN"", ""9_CM""",IF(M630="tout alignement non loyal", """2_NB"", ""3_CB"", ""5_NN"", ""6_CN"", ""8_NM"", ""9_CM""",""""&amp;VLOOKUP(M630,Alignements!$A$2:$B$10,2, FALSE)&amp;""""))))))</f>
        <v/>
      </c>
      <c r="O630" s="297"/>
      <c r="P630" t="str">
        <f t="shared" si="29"/>
        <v>"Ptéranodon": {
  "Name" : "Ptéranodon",
  "VO" : "Pteranodon",
  "Family" : "BEAST",
  "Species" : [""],
  "FP" : "1/4", 
  "Size" : "M",
  "AC" : 13,
  "HP" : 13, 
  "Speed" : "vol",
  "Alignments" : [],
  "Legendary" : ""}</v>
      </c>
    </row>
    <row r="631" spans="1:16">
      <c r="A631" s="61" t="s">
        <v>5275</v>
      </c>
      <c r="B631" s="298" t="s">
        <v>5276</v>
      </c>
      <c r="C631" s="306">
        <v>0</v>
      </c>
      <c r="D631" s="298" t="s">
        <v>4128</v>
      </c>
      <c r="E631" s="297" t="str">
        <f t="shared" si="27"/>
        <v>Bête</v>
      </c>
      <c r="F631" s="297" t="str">
        <f>VLOOKUP(E631,'Types de monstres'!$A$2:$B$17,2,FALSE)</f>
        <v>BEAST</v>
      </c>
      <c r="G631" s="297" t="str">
        <f t="shared" si="28"/>
        <v/>
      </c>
      <c r="H631" s="297" t="str">
        <f>IF(OR(G631="",G631="toute race"),"",VLOOKUP(G631,'Types de monstres'!$F$2:$G$49,2,FALSE))</f>
        <v/>
      </c>
      <c r="I631" s="298" t="s">
        <v>4129</v>
      </c>
      <c r="J631" s="300">
        <v>13</v>
      </c>
      <c r="K631" s="300">
        <v>4</v>
      </c>
      <c r="L631" s="298"/>
      <c r="M631" s="298" t="s">
        <v>4130</v>
      </c>
      <c r="N631" s="297" t="str">
        <f>IF(M631="sans alignement","",IF(M631="tout alignement", """1_LB"", ""2_NB"", ""3_CB"", ""4_LN"", ""5_NN"", ""6_CN"", ""7_LM"", ""8_NM"", ""9_CM""",IF(M631="tout alignement non bon", """4_LN"", ""5_NN"", ""6_CN"", ""7_LM"", ""8_NM"", ""9_CM""",IF(M631="tout alignement mauvais", """7_LM"", ""8_NM"", ""9_CM""",IF(M631="tout alignement chaotique", """3_CB"", ""6_CN"", ""9_CM""",IF(M631="tout alignement non loyal", """2_NB"", ""3_CB"", ""5_NN"", ""6_CN"", ""8_NM"", ""9_CM""",""""&amp;VLOOKUP(M631,Alignements!$A$2:$B$10,2, FALSE)&amp;""""))))))</f>
        <v/>
      </c>
      <c r="O631" s="298"/>
      <c r="P631" t="str">
        <f t="shared" si="29"/>
        <v>"Punaise de feu géante": {
  "Name" : "Punaise de feu géante",
  "VO" : "Giant Fire Beetle",
  "Family" : "BEAST",
  "Species" : [""],
  "FP" : "0", 
  "Size" : "P",
  "AC" : 13,
  "HP" : 4, 
  "Speed" : "",
  "Alignments" : [],
  "Legendary" : ""}</v>
      </c>
    </row>
    <row r="632" spans="1:16">
      <c r="A632" s="61" t="s">
        <v>5277</v>
      </c>
      <c r="B632" s="297" t="s">
        <v>5277</v>
      </c>
      <c r="C632" s="305">
        <v>1</v>
      </c>
      <c r="D632" s="297" t="s">
        <v>4181</v>
      </c>
      <c r="E632" s="297" t="str">
        <f t="shared" si="27"/>
        <v>Créature artificielle</v>
      </c>
      <c r="F632" s="297" t="str">
        <f>VLOOKUP(E632,'Types de monstres'!$A$2:$B$17,2,FALSE)</f>
        <v>ARTIFICIAL_CREATURE</v>
      </c>
      <c r="G632" s="297" t="str">
        <f t="shared" si="28"/>
        <v/>
      </c>
      <c r="H632" s="297" t="str">
        <f>IF(OR(G632="",G632="toute race"),"",VLOOKUP(G632,'Types de monstres'!$F$2:$G$49,2,FALSE))</f>
        <v/>
      </c>
      <c r="I632" s="297" t="s">
        <v>4091</v>
      </c>
      <c r="J632" s="302">
        <v>16</v>
      </c>
      <c r="K632" s="302">
        <v>22</v>
      </c>
      <c r="L632" s="297" t="s">
        <v>4092</v>
      </c>
      <c r="M632" s="297" t="s">
        <v>4145</v>
      </c>
      <c r="N632" s="297" t="str">
        <f>IF(M632="sans alignement","",IF(M632="tout alignement", """1_LB"", ""2_NB"", ""3_CB"", ""4_LN"", ""5_NN"", ""6_CN"", ""7_LM"", ""8_NM"", ""9_CM""",IF(M632="tout alignement non bon", """4_LN"", ""5_NN"", ""6_CN"", ""7_LM"", ""8_NM"", ""9_CM""",IF(M632="tout alignement mauvais", """7_LM"", ""8_NM"", ""9_CM""",IF(M632="tout alignement chaotique", """3_CB"", ""6_CN"", ""9_CM""",IF(M632="tout alignement non loyal", """2_NB"", ""3_CB"", ""5_NN"", ""6_CN"", ""8_NM"", ""9_CM""",""""&amp;VLOOKUP(M632,Alignements!$A$2:$B$10,2, FALSE)&amp;""""))))))</f>
        <v>"4_LN"</v>
      </c>
      <c r="O632" s="297"/>
      <c r="P632" t="str">
        <f t="shared" si="29"/>
        <v>"Quadrone": {
  "Name" : "Quadrone",
  "VO" : "Quadrone",
  "Family" : "ARTIFICIAL_CREATURE",
  "Species" : [""],
  "FP" : "1", 
  "Size" : "M",
  "AC" : 16,
  "HP" : 22, 
  "Speed" : "vol",
  "Alignments" : ["4_LN"],
  "Legendary" : ""}</v>
      </c>
    </row>
    <row r="633" spans="1:16">
      <c r="A633" s="61" t="s">
        <v>5278</v>
      </c>
      <c r="B633" s="298" t="s">
        <v>5278</v>
      </c>
      <c r="C633" s="306">
        <v>2</v>
      </c>
      <c r="D633" s="298" t="s">
        <v>5279</v>
      </c>
      <c r="E633" s="297" t="str">
        <f t="shared" si="27"/>
        <v>Humanoïde</v>
      </c>
      <c r="F633" s="297" t="str">
        <f>VLOOKUP(E633,'Types de monstres'!$A$2:$B$17,2,FALSE)</f>
        <v>HUMANOID</v>
      </c>
      <c r="G633" s="297" t="str">
        <f t="shared" si="28"/>
        <v>quaggoth</v>
      </c>
      <c r="H633" s="297" t="str">
        <f>IF(OR(G633="",G633="toute race"),"",VLOOKUP(G633,'Types de monstres'!$F$2:$G$49,2,FALSE))</f>
        <v>QUAGGOTH</v>
      </c>
      <c r="I633" s="298" t="s">
        <v>4091</v>
      </c>
      <c r="J633" s="300">
        <v>13</v>
      </c>
      <c r="K633" s="300">
        <v>45</v>
      </c>
      <c r="L633" s="298"/>
      <c r="M633" s="298" t="s">
        <v>4243</v>
      </c>
      <c r="N633" s="297" t="str">
        <f>IF(M633="sans alignement","",IF(M633="tout alignement", """1_LB"", ""2_NB"", ""3_CB"", ""4_LN"", ""5_NN"", ""6_CN"", ""7_LM"", ""8_NM"", ""9_CM""",IF(M633="tout alignement non bon", """4_LN"", ""5_NN"", ""6_CN"", ""7_LM"", ""8_NM"", ""9_CM""",IF(M633="tout alignement mauvais", """7_LM"", ""8_NM"", ""9_CM""",IF(M633="tout alignement chaotique", """3_CB"", ""6_CN"", ""9_CM""",IF(M633="tout alignement non loyal", """2_NB"", ""3_CB"", ""5_NN"", ""6_CN"", ""8_NM"", ""9_CM""",""""&amp;VLOOKUP(M633,Alignements!$A$2:$B$10,2, FALSE)&amp;""""))))))</f>
        <v>"6_CN"</v>
      </c>
      <c r="O633" s="298"/>
      <c r="P633" t="str">
        <f t="shared" si="29"/>
        <v>"Quaggoth": {
  "Name" : "Quaggoth",
  "VO" : "Quaggoth",
  "Family" : "HUMANOID",
  "Species" : ["QUAGGOTH"],
  "FP" : "2", 
  "Size" : "M",
  "AC" : 13,
  "HP" : 45, 
  "Speed" : "",
  "Alignments" : ["6_CN"],
  "Legendary" : ""}</v>
      </c>
    </row>
    <row r="634" spans="1:16" ht="21">
      <c r="A634" s="61" t="s">
        <v>5280</v>
      </c>
      <c r="B634" s="297" t="s">
        <v>5281</v>
      </c>
      <c r="C634" s="305">
        <v>1</v>
      </c>
      <c r="D634" s="297" t="s">
        <v>4167</v>
      </c>
      <c r="E634" s="297" t="str">
        <f t="shared" si="27"/>
        <v>Plante</v>
      </c>
      <c r="F634" s="297" t="str">
        <f>VLOOKUP(E634,'Types de monstres'!$A$2:$B$17,2,FALSE)</f>
        <v>PLANT</v>
      </c>
      <c r="G634" s="297" t="str">
        <f t="shared" si="28"/>
        <v/>
      </c>
      <c r="H634" s="297" t="str">
        <f>IF(OR(G634="",G634="toute race"),"",VLOOKUP(G634,'Types de monstres'!$F$2:$G$49,2,FALSE))</f>
        <v/>
      </c>
      <c r="I634" s="297" t="s">
        <v>4091</v>
      </c>
      <c r="J634" s="302">
        <v>13</v>
      </c>
      <c r="K634" s="302">
        <v>45</v>
      </c>
      <c r="L634" s="297"/>
      <c r="M634" s="297" t="s">
        <v>4130</v>
      </c>
      <c r="N634" s="297" t="str">
        <f>IF(M634="sans alignement","",IF(M634="tout alignement", """1_LB"", ""2_NB"", ""3_CB"", ""4_LN"", ""5_NN"", ""6_CN"", ""7_LM"", ""8_NM"", ""9_CM""",IF(M634="tout alignement non bon", """4_LN"", ""5_NN"", ""6_CN"", ""7_LM"", ""8_NM"", ""9_CM""",IF(M634="tout alignement mauvais", """7_LM"", ""8_NM"", ""9_CM""",IF(M634="tout alignement chaotique", """3_CB"", ""6_CN"", ""9_CM""",IF(M634="tout alignement non loyal", """2_NB"", ""3_CB"", ""5_NN"", ""6_CN"", ""8_NM"", ""9_CM""",""""&amp;VLOOKUP(M634,Alignements!$A$2:$B$10,2, FALSE)&amp;""""))))))</f>
        <v/>
      </c>
      <c r="O634" s="297"/>
      <c r="P634" t="str">
        <f t="shared" si="29"/>
        <v>"Quaggoth, serviteur des spores": {
  "Name" : "Quaggoth, serviteur des spores",
  "VO" : "Quaggoth spore servant",
  "Family" : "PLANT",
  "Species" : [""],
  "FP" : "1", 
  "Size" : "M",
  "AC" : 13,
  "HP" : 45, 
  "Speed" : "",
  "Alignments" : [],
  "Legendary" : ""}</v>
      </c>
    </row>
    <row r="635" spans="1:16" ht="21">
      <c r="A635" s="61" t="s">
        <v>5282</v>
      </c>
      <c r="B635" s="298" t="s">
        <v>5282</v>
      </c>
      <c r="C635" s="306">
        <v>1</v>
      </c>
      <c r="D635" s="298" t="s">
        <v>4822</v>
      </c>
      <c r="E635" s="297" t="str">
        <f t="shared" si="27"/>
        <v>Fiélon</v>
      </c>
      <c r="F635" s="297" t="str">
        <f>VLOOKUP(E635,'Types de monstres'!$A$2:$B$17,2,FALSE)</f>
        <v>FIEND</v>
      </c>
      <c r="G635" s="297" t="str">
        <f t="shared" si="28"/>
        <v>démon, métamorphe</v>
      </c>
      <c r="H635" s="297" t="s">
        <v>5720</v>
      </c>
      <c r="I635" s="298" t="s">
        <v>4154</v>
      </c>
      <c r="J635" s="300">
        <v>13</v>
      </c>
      <c r="K635" s="300">
        <v>7</v>
      </c>
      <c r="L635" s="298"/>
      <c r="M635" s="298" t="s">
        <v>4137</v>
      </c>
      <c r="N635" s="297" t="str">
        <f>IF(M635="sans alignement","",IF(M635="tout alignement", """1_LB"", ""2_NB"", ""3_CB"", ""4_LN"", ""5_NN"", ""6_CN"", ""7_LM"", ""8_NM"", ""9_CM""",IF(M635="tout alignement non bon", """4_LN"", ""5_NN"", ""6_CN"", ""7_LM"", ""8_NM"", ""9_CM""",IF(M635="tout alignement mauvais", """7_LM"", ""8_NM"", ""9_CM""",IF(M635="tout alignement chaotique", """3_CB"", ""6_CN"", ""9_CM""",IF(M635="tout alignement non loyal", """2_NB"", ""3_CB"", ""5_NN"", ""6_CN"", ""8_NM"", ""9_CM""",""""&amp;VLOOKUP(M635,Alignements!$A$2:$B$10,2, FALSE)&amp;""""))))))</f>
        <v>"9_CM"</v>
      </c>
      <c r="O635" s="298"/>
      <c r="P635" t="str">
        <f t="shared" si="29"/>
        <v>"Quasit": {
  "Name" : "Quasit",
  "VO" : "Quasit",
  "Family" : "FIEND",
  "Species" : ["DAEMON", "METAMORPH"],
  "FP" : "1", 
  "Size" : "TP",
  "AC" : 13,
  "HP" : 7, 
  "Speed" : "",
  "Alignments" : ["9_CM"],
  "Legendary" : ""}</v>
      </c>
    </row>
    <row r="636" spans="1:16">
      <c r="A636" s="61" t="s">
        <v>5283</v>
      </c>
      <c r="B636" s="297" t="s">
        <v>5283</v>
      </c>
      <c r="C636" s="305">
        <v>2</v>
      </c>
      <c r="D636" s="297" t="s">
        <v>4128</v>
      </c>
      <c r="E636" s="297" t="str">
        <f t="shared" si="27"/>
        <v>Bête</v>
      </c>
      <c r="F636" s="297" t="str">
        <f>VLOOKUP(E636,'Types de monstres'!$A$2:$B$17,2,FALSE)</f>
        <v>BEAST</v>
      </c>
      <c r="G636" s="297" t="str">
        <f t="shared" si="28"/>
        <v/>
      </c>
      <c r="H636" s="297" t="str">
        <f>IF(OR(G636="",G636="toute race"),"",VLOOKUP(G636,'Types de monstres'!$F$2:$G$49,2,FALSE))</f>
        <v/>
      </c>
      <c r="I636" s="297" t="s">
        <v>4149</v>
      </c>
      <c r="J636" s="302">
        <v>13</v>
      </c>
      <c r="K636" s="302">
        <v>30</v>
      </c>
      <c r="L636" s="297" t="s">
        <v>4092</v>
      </c>
      <c r="M636" s="297" t="s">
        <v>4130</v>
      </c>
      <c r="N636" s="297" t="str">
        <f>IF(M636="sans alignement","",IF(M636="tout alignement", """1_LB"", ""2_NB"", ""3_CB"", ""4_LN"", ""5_NN"", ""6_CN"", ""7_LM"", ""8_NM"", ""9_CM""",IF(M636="tout alignement non bon", """4_LN"", ""5_NN"", ""6_CN"", ""7_LM"", ""8_NM"", ""9_CM""",IF(M636="tout alignement mauvais", """7_LM"", ""8_NM"", ""9_CM""",IF(M636="tout alignement chaotique", """3_CB"", ""6_CN"", ""9_CM""",IF(M636="tout alignement non loyal", """2_NB"", ""3_CB"", ""5_NN"", ""6_CN"", ""8_NM"", ""9_CM""",""""&amp;VLOOKUP(M636,Alignements!$A$2:$B$10,2, FALSE)&amp;""""))))))</f>
        <v/>
      </c>
      <c r="O636" s="297"/>
      <c r="P636" t="str">
        <f t="shared" si="29"/>
        <v>"Quetzalcoatlus": {
  "Name" : "Quetzalcoatlus",
  "VO" : "Quetzalcoatlus",
  "Family" : "BEAST",
  "Species" : [""],
  "FP" : "2", 
  "Size" : "TG",
  "AC" : 13,
  "HP" : 30, 
  "Speed" : "vol",
  "Alignments" : [],
  "Legendary" : ""}</v>
      </c>
    </row>
    <row r="637" spans="1:16">
      <c r="A637" s="299" t="s">
        <v>5284</v>
      </c>
      <c r="B637" s="298" t="s">
        <v>5285</v>
      </c>
      <c r="C637" s="306">
        <v>9</v>
      </c>
      <c r="D637" s="298" t="s">
        <v>4111</v>
      </c>
      <c r="E637" s="297" t="str">
        <f t="shared" si="27"/>
        <v>Aberration</v>
      </c>
      <c r="F637" s="297" t="str">
        <f>VLOOKUP(E637,'Types de monstres'!$A$2:$B$17,2,FALSE)</f>
        <v>ABERRATION</v>
      </c>
      <c r="G637" s="297" t="str">
        <f t="shared" si="28"/>
        <v/>
      </c>
      <c r="H637" s="297" t="str">
        <f>IF(OR(G637="",G637="toute race"),"",VLOOKUP(G637,'Types de monstres'!$F$2:$G$49,2,FALSE))</f>
        <v/>
      </c>
      <c r="I637" s="298" t="s">
        <v>4091</v>
      </c>
      <c r="J637" s="300">
        <v>17</v>
      </c>
      <c r="K637" s="300">
        <v>99</v>
      </c>
      <c r="L637" s="298"/>
      <c r="M637" s="298" t="s">
        <v>4097</v>
      </c>
      <c r="N637" s="297" t="str">
        <f>IF(M637="sans alignement","",IF(M637="tout alignement", """1_LB"", ""2_NB"", ""3_CB"", ""4_LN"", ""5_NN"", ""6_CN"", ""7_LM"", ""8_NM"", ""9_CM""",IF(M637="tout alignement non bon", """4_LN"", ""5_NN"", ""6_CN"", ""7_LM"", ""8_NM"", ""9_CM""",IF(M637="tout alignement mauvais", """7_LM"", ""8_NM"", ""9_CM""",IF(M637="tout alignement chaotique", """3_CB"", ""6_CN"", ""9_CM""",IF(M637="tout alignement non loyal", """2_NB"", ""3_CB"", ""5_NN"", ""6_CN"", ""8_NM"", ""9_CM""",""""&amp;VLOOKUP(M637,Alignements!$A$2:$B$10,2, FALSE)&amp;""""))))))</f>
        <v>"7_LM"</v>
      </c>
      <c r="O637" s="298"/>
      <c r="P637" t="str">
        <f t="shared" si="29"/>
        <v>"Quorien hashalaq": {
  "Name" : "Quorien hashalaq",
  "VO" : "Hashalaq Quori",
  "Family" : "ABERRATION",
  "Species" : [""],
  "FP" : "9", 
  "Size" : "M",
  "AC" : 17,
  "HP" : 99, 
  "Speed" : "",
  "Alignments" : ["7_LM"],
  "Legendary" : ""}</v>
      </c>
    </row>
    <row r="638" spans="1:16">
      <c r="A638" s="301" t="s">
        <v>5286</v>
      </c>
      <c r="B638" s="297" t="s">
        <v>5287</v>
      </c>
      <c r="C638" s="305">
        <v>19</v>
      </c>
      <c r="D638" s="297" t="s">
        <v>4111</v>
      </c>
      <c r="E638" s="297" t="str">
        <f t="shared" si="27"/>
        <v>Aberration</v>
      </c>
      <c r="F638" s="297" t="str">
        <f>VLOOKUP(E638,'Types de monstres'!$A$2:$B$17,2,FALSE)</f>
        <v>ABERRATION</v>
      </c>
      <c r="G638" s="297" t="str">
        <f t="shared" si="28"/>
        <v/>
      </c>
      <c r="H638" s="297" t="str">
        <f>IF(OR(G638="",G638="toute race"),"",VLOOKUP(G638,'Types de monstres'!$F$2:$G$49,2,FALSE))</f>
        <v/>
      </c>
      <c r="I638" s="297" t="s">
        <v>4091</v>
      </c>
      <c r="J638" s="302">
        <v>18</v>
      </c>
      <c r="K638" s="302">
        <v>161</v>
      </c>
      <c r="L638" s="297" t="s">
        <v>4092</v>
      </c>
      <c r="M638" s="297" t="s">
        <v>4097</v>
      </c>
      <c r="N638" s="297" t="str">
        <f>IF(M638="sans alignement","",IF(M638="tout alignement", """1_LB"", ""2_NB"", ""3_CB"", ""4_LN"", ""5_NN"", ""6_CN"", ""7_LM"", ""8_NM"", ""9_CM""",IF(M638="tout alignement non bon", """4_LN"", ""5_NN"", ""6_CN"", ""7_LM"", ""8_NM"", ""9_CM""",IF(M638="tout alignement mauvais", """7_LM"", ""8_NM"", ""9_CM""",IF(M638="tout alignement chaotique", """3_CB"", ""6_CN"", ""9_CM""",IF(M638="tout alignement non loyal", """2_NB"", ""3_CB"", ""5_NN"", ""6_CN"", ""8_NM"", ""9_CM""",""""&amp;VLOOKUP(M638,Alignements!$A$2:$B$10,2, FALSE)&amp;""""))))))</f>
        <v>"7_LM"</v>
      </c>
      <c r="O638" s="297"/>
      <c r="P638" t="str">
        <f t="shared" si="29"/>
        <v>"Quorien kalaraq": {
  "Name" : "Quorien kalaraq",
  "VO" : "Kalaraq Quori",
  "Family" : "ABERRATION",
  "Species" : [""],
  "FP" : "19", 
  "Size" : "M",
  "AC" : 18,
  "HP" : 161, 
  "Speed" : "vol",
  "Alignments" : ["7_LM"],
  "Legendary" : ""}</v>
      </c>
    </row>
    <row r="639" spans="1:16">
      <c r="A639" s="299" t="s">
        <v>5288</v>
      </c>
      <c r="B639" s="298" t="s">
        <v>5289</v>
      </c>
      <c r="C639" s="306">
        <v>7</v>
      </c>
      <c r="D639" s="298" t="s">
        <v>4111</v>
      </c>
      <c r="E639" s="297" t="str">
        <f t="shared" si="27"/>
        <v>Aberration</v>
      </c>
      <c r="F639" s="297" t="str">
        <f>VLOOKUP(E639,'Types de monstres'!$A$2:$B$17,2,FALSE)</f>
        <v>ABERRATION</v>
      </c>
      <c r="G639" s="297" t="str">
        <f t="shared" si="28"/>
        <v/>
      </c>
      <c r="H639" s="297" t="str">
        <f>IF(OR(G639="",G639="toute race"),"",VLOOKUP(G639,'Types de monstres'!$F$2:$G$49,2,FALSE))</f>
        <v/>
      </c>
      <c r="I639" s="298" t="s">
        <v>4091</v>
      </c>
      <c r="J639" s="300">
        <v>16</v>
      </c>
      <c r="K639" s="300">
        <v>68</v>
      </c>
      <c r="L639" s="298"/>
      <c r="M639" s="298" t="s">
        <v>4097</v>
      </c>
      <c r="N639" s="297" t="str">
        <f>IF(M639="sans alignement","",IF(M639="tout alignement", """1_LB"", ""2_NB"", ""3_CB"", ""4_LN"", ""5_NN"", ""6_CN"", ""7_LM"", ""8_NM"", ""9_CM""",IF(M639="tout alignement non bon", """4_LN"", ""5_NN"", ""6_CN"", ""7_LM"", ""8_NM"", ""9_CM""",IF(M639="tout alignement mauvais", """7_LM"", ""8_NM"", ""9_CM""",IF(M639="tout alignement chaotique", """3_CB"", ""6_CN"", ""9_CM""",IF(M639="tout alignement non loyal", """2_NB"", ""3_CB"", ""5_NN"", ""6_CN"", ""8_NM"", ""9_CM""",""""&amp;VLOOKUP(M639,Alignements!$A$2:$B$10,2, FALSE)&amp;""""))))))</f>
        <v>"7_LM"</v>
      </c>
      <c r="O639" s="298"/>
      <c r="P639" t="str">
        <f t="shared" si="29"/>
        <v>"Quorien tsucora": {
  "Name" : "Quorien tsucora",
  "VO" : "Tsucora Quori",
  "Family" : "ABERRATION",
  "Species" : [""],
  "FP" : "7", 
  "Size" : "M",
  "AC" : 16,
  "HP" : 68, 
  "Speed" : "",
  "Alignments" : ["7_LM"],
  "Legendary" : ""}</v>
      </c>
    </row>
    <row r="640" spans="1:16">
      <c r="A640" s="301" t="s">
        <v>5290</v>
      </c>
      <c r="B640" s="297" t="s">
        <v>5290</v>
      </c>
      <c r="C640" s="305">
        <v>11</v>
      </c>
      <c r="D640" s="297" t="s">
        <v>2598</v>
      </c>
      <c r="E640" s="297" t="str">
        <f t="shared" si="27"/>
        <v>Céleste</v>
      </c>
      <c r="F640" s="297" t="str">
        <f>VLOOKUP(E640,'Types de monstres'!$A$2:$B$17,2,FALSE)</f>
        <v>CELESTIAL</v>
      </c>
      <c r="G640" s="297" t="str">
        <f t="shared" si="28"/>
        <v/>
      </c>
      <c r="H640" s="297" t="str">
        <f>IF(OR(G640="",G640="toute race"),"",VLOOKUP(G640,'Types de monstres'!$F$2:$G$49,2,FALSE))</f>
        <v/>
      </c>
      <c r="I640" s="297" t="s">
        <v>4112</v>
      </c>
      <c r="J640" s="302">
        <v>18</v>
      </c>
      <c r="K640" s="302">
        <v>142</v>
      </c>
      <c r="L640" s="297"/>
      <c r="M640" s="297" t="s">
        <v>4097</v>
      </c>
      <c r="N640" s="297" t="str">
        <f>IF(M640="sans alignement","",IF(M640="tout alignement", """1_LB"", ""2_NB"", ""3_CB"", ""4_LN"", ""5_NN"", ""6_CN"", ""7_LM"", ""8_NM"", ""9_CM""",IF(M640="tout alignement non bon", """4_LN"", ""5_NN"", ""6_CN"", ""7_LM"", ""8_NM"", ""9_CM""",IF(M640="tout alignement mauvais", """7_LM"", ""8_NM"", ""9_CM""",IF(M640="tout alignement chaotique", """3_CB"", ""6_CN"", ""9_CM""",IF(M640="tout alignement non loyal", """2_NB"", ""3_CB"", ""5_NN"", ""6_CN"", ""8_NM"", ""9_CM""",""""&amp;VLOOKUP(M640,Alignements!$A$2:$B$10,2, FALSE)&amp;""""))))))</f>
        <v>"7_LM"</v>
      </c>
      <c r="O640" s="297"/>
      <c r="P640" t="str">
        <f t="shared" si="29"/>
        <v>"Radiant Idol": {
  "Name" : "Radiant Idol",
  "VO" : "Radiant Idol",
  "Family" : "CELESTIAL",
  "Species" : [""],
  "FP" : "11", 
  "Size" : "G",
  "AC" : 18,
  "HP" : 142, 
  "Speed" : "",
  "Alignments" : ["7_LM"],
  "Legendary" : ""}</v>
      </c>
    </row>
    <row r="641" spans="1:16">
      <c r="A641" s="61" t="s">
        <v>5291</v>
      </c>
      <c r="B641" s="298" t="s">
        <v>5292</v>
      </c>
      <c r="C641" s="306" t="s">
        <v>5620</v>
      </c>
      <c r="D641" s="298" t="s">
        <v>4128</v>
      </c>
      <c r="E641" s="297" t="str">
        <f t="shared" si="27"/>
        <v>Bête</v>
      </c>
      <c r="F641" s="297" t="str">
        <f>VLOOKUP(E641,'Types de monstres'!$A$2:$B$17,2,FALSE)</f>
        <v>BEAST</v>
      </c>
      <c r="G641" s="297" t="str">
        <f t="shared" si="28"/>
        <v/>
      </c>
      <c r="H641" s="297" t="str">
        <f>IF(OR(G641="",G641="toute race"),"",VLOOKUP(G641,'Types de monstres'!$F$2:$G$49,2,FALSE))</f>
        <v/>
      </c>
      <c r="I641" s="298" t="s">
        <v>4112</v>
      </c>
      <c r="J641" s="300">
        <v>12</v>
      </c>
      <c r="K641" s="300">
        <v>16</v>
      </c>
      <c r="L641" s="298" t="s">
        <v>4113</v>
      </c>
      <c r="M641" s="298" t="s">
        <v>4130</v>
      </c>
      <c r="N641" s="297" t="str">
        <f>IF(M641="sans alignement","",IF(M641="tout alignement", """1_LB"", ""2_NB"", ""3_CB"", ""4_LN"", ""5_NN"", ""6_CN"", ""7_LM"", ""8_NM"", ""9_CM""",IF(M641="tout alignement non bon", """4_LN"", ""5_NN"", ""6_CN"", ""7_LM"", ""8_NM"", ""9_CM""",IF(M641="tout alignement mauvais", """7_LM"", ""8_NM"", ""9_CM""",IF(M641="tout alignement chaotique", """3_CB"", ""6_CN"", ""9_CM""",IF(M641="tout alignement non loyal", """2_NB"", ""3_CB"", ""5_NN"", ""6_CN"", ""8_NM"", ""9_CM""",""""&amp;VLOOKUP(M641,Alignements!$A$2:$B$10,2, FALSE)&amp;""""))))))</f>
        <v/>
      </c>
      <c r="O641" s="298"/>
      <c r="P641" t="str">
        <f t="shared" si="29"/>
        <v>"Raie manta de récif": {
  "Name" : "Raie manta de récif",
  "VO" : "Reef Manta Ray",
  "Family" : "BEAST",
  "Species" : [""],
  "FP" : "1/2", 
  "Size" : "G",
  "AC" : 12,
  "HP" : 16, 
  "Speed" : "nage",
  "Alignments" : [],
  "Legendary" : ""}</v>
      </c>
    </row>
    <row r="642" spans="1:16">
      <c r="A642" s="301" t="s">
        <v>5293</v>
      </c>
      <c r="B642" s="297" t="s">
        <v>5293</v>
      </c>
      <c r="C642" s="305">
        <v>28</v>
      </c>
      <c r="D642" s="297" t="s">
        <v>2914</v>
      </c>
      <c r="E642" s="297" t="str">
        <f t="shared" si="27"/>
        <v>Fiélon</v>
      </c>
      <c r="F642" s="297" t="str">
        <f>VLOOKUP(E642,'Types de monstres'!$A$2:$B$17,2,FALSE)</f>
        <v>FIEND</v>
      </c>
      <c r="G642" s="297" t="str">
        <f t="shared" si="28"/>
        <v/>
      </c>
      <c r="H642" s="297" t="str">
        <f>IF(OR(G642="",G642="toute race"),"",VLOOKUP(G642,'Types de monstres'!$F$2:$G$49,2,FALSE))</f>
        <v/>
      </c>
      <c r="I642" s="297" t="s">
        <v>4149</v>
      </c>
      <c r="J642" s="302">
        <v>23</v>
      </c>
      <c r="K642" s="302">
        <v>478</v>
      </c>
      <c r="L642" s="297" t="s">
        <v>4092</v>
      </c>
      <c r="M642" s="297" t="s">
        <v>4118</v>
      </c>
      <c r="N642" s="297" t="str">
        <f>IF(M642="sans alignement","",IF(M642="tout alignement", """1_LB"", ""2_NB"", ""3_CB"", ""4_LN"", ""5_NN"", ""6_CN"", ""7_LM"", ""8_NM"", ""9_CM""",IF(M642="tout alignement non bon", """4_LN"", ""5_NN"", ""6_CN"", ""7_LM"", ""8_NM"", ""9_CM""",IF(M642="tout alignement mauvais", """7_LM"", ""8_NM"", ""9_CM""",IF(M642="tout alignement chaotique", """3_CB"", ""6_CN"", ""9_CM""",IF(M642="tout alignement non loyal", """2_NB"", ""3_CB"", ""5_NN"", ""6_CN"", ""8_NM"", ""9_CM""",""""&amp;VLOOKUP(M642,Alignements!$A$2:$B$10,2, FALSE)&amp;""""))))))</f>
        <v>"8_NM"</v>
      </c>
      <c r="O642" s="297"/>
      <c r="P642" t="str">
        <f t="shared" si="29"/>
        <v>"Rak Tulkhesh": {
  "Name" : "Rak Tulkhesh",
  "VO" : "Rak Tulkhesh",
  "Family" : "FIEND",
  "Species" : [""],
  "FP" : "28", 
  "Size" : "TG",
  "AC" : 23,
  "HP" : 478, 
  "Speed" : "vol",
  "Alignments" : ["8_NM"],
  "Legendary" : ""}</v>
      </c>
    </row>
    <row r="643" spans="1:16">
      <c r="A643" s="61" t="s">
        <v>5294</v>
      </c>
      <c r="B643" s="298" t="s">
        <v>5294</v>
      </c>
      <c r="C643" s="306">
        <v>13</v>
      </c>
      <c r="D643" s="298" t="s">
        <v>2914</v>
      </c>
      <c r="E643" s="297" t="str">
        <f t="shared" ref="E643:E706" si="30">IF(ISERROR( FIND("(",D643) ),D643,LEFT(D643, FIND("(",D643)-2))</f>
        <v>Fiélon</v>
      </c>
      <c r="F643" s="297" t="str">
        <f>VLOOKUP(E643,'Types de monstres'!$A$2:$B$17,2,FALSE)</f>
        <v>FIEND</v>
      </c>
      <c r="G643" s="297" t="str">
        <f t="shared" ref="G643:G706" si="31">IF(ISERROR( FIND("(",D643) ),"",RIGHT(LEFT(D643,LEN(D643)-1), LEN(D643)-FIND("(",D643)-1))</f>
        <v/>
      </c>
      <c r="H643" s="297" t="str">
        <f>IF(OR(G643="",G643="toute race"),"",VLOOKUP(G643,'Types de monstres'!$F$2:$G$49,2,FALSE))</f>
        <v/>
      </c>
      <c r="I643" s="298" t="s">
        <v>4091</v>
      </c>
      <c r="J643" s="300">
        <v>16</v>
      </c>
      <c r="K643" s="300">
        <v>110</v>
      </c>
      <c r="L643" s="298"/>
      <c r="M643" s="298" t="s">
        <v>4097</v>
      </c>
      <c r="N643" s="297" t="str">
        <f>IF(M643="sans alignement","",IF(M643="tout alignement", """1_LB"", ""2_NB"", ""3_CB"", ""4_LN"", ""5_NN"", ""6_CN"", ""7_LM"", ""8_NM"", ""9_CM""",IF(M643="tout alignement non bon", """4_LN"", ""5_NN"", ""6_CN"", ""7_LM"", ""8_NM"", ""9_CM""",IF(M643="tout alignement mauvais", """7_LM"", ""8_NM"", ""9_CM""",IF(M643="tout alignement chaotique", """3_CB"", ""6_CN"", ""9_CM""",IF(M643="tout alignement non loyal", """2_NB"", ""3_CB"", ""5_NN"", ""6_CN"", ""8_NM"", ""9_CM""",""""&amp;VLOOKUP(M643,Alignements!$A$2:$B$10,2, FALSE)&amp;""""))))))</f>
        <v>"7_LM"</v>
      </c>
      <c r="O643" s="298"/>
      <c r="P643" t="str">
        <f t="shared" ref="P643:P706" si="32">""""&amp;A643&amp;""": {
  ""Name"" : """&amp;A643&amp;""",
  ""VO"" : """&amp;B643&amp;""",
  ""Family"" : """&amp;F643&amp;""",
  ""Species"" : ["""&amp;SUBSTITUTE(H643,", ",""", """)&amp;"""],
  ""FP"" : """&amp;SUBSTITUTE(C643,"""","")&amp;""", 
  ""Size"" : """&amp;I643&amp;""",
  ""AC"" : "&amp;J643&amp;",
  ""HP"" : "&amp;K643&amp;", 
  ""Speed"" : """&amp;L643&amp;""",
  ""Alignments"" : ["&amp;N643&amp;"],
  ""Legendary"" : """&amp;O643&amp;"""}"</f>
        <v>"Rakshasa": {
  "Name" : "Rakshasa",
  "VO" : "Rakshasa",
  "Family" : "FIEND",
  "Species" : [""],
  "FP" : "13", 
  "Size" : "M",
  "AC" : 16,
  "HP" : 110, 
  "Speed" : "",
  "Alignments" : ["7_LM"],
  "Legendary" : ""}</v>
      </c>
    </row>
    <row r="644" spans="1:16">
      <c r="A644" s="301" t="s">
        <v>5295</v>
      </c>
      <c r="B644" s="297" t="s">
        <v>5296</v>
      </c>
      <c r="C644" s="305">
        <v>5</v>
      </c>
      <c r="D644" s="297" t="s">
        <v>2914</v>
      </c>
      <c r="E644" s="297" t="str">
        <f t="shared" si="30"/>
        <v>Fiélon</v>
      </c>
      <c r="F644" s="297" t="str">
        <f>VLOOKUP(E644,'Types de monstres'!$A$2:$B$17,2,FALSE)</f>
        <v>FIEND</v>
      </c>
      <c r="G644" s="297" t="str">
        <f t="shared" si="31"/>
        <v/>
      </c>
      <c r="H644" s="297" t="str">
        <f>IF(OR(G644="",G644="toute race"),"",VLOOKUP(G644,'Types de monstres'!$F$2:$G$49,2,FALSE))</f>
        <v/>
      </c>
      <c r="I644" s="297" t="s">
        <v>4091</v>
      </c>
      <c r="J644" s="302">
        <v>18</v>
      </c>
      <c r="K644" s="302">
        <v>59</v>
      </c>
      <c r="L644" s="297"/>
      <c r="M644" s="297" t="s">
        <v>4097</v>
      </c>
      <c r="N644" s="297" t="str">
        <f>IF(M644="sans alignement","",IF(M644="tout alignement", """1_LB"", ""2_NB"", ""3_CB"", ""4_LN"", ""5_NN"", ""6_CN"", ""7_LM"", ""8_NM"", ""9_CM""",IF(M644="tout alignement non bon", """4_LN"", ""5_NN"", ""6_CN"", ""7_LM"", ""8_NM"", ""9_CM""",IF(M644="tout alignement mauvais", """7_LM"", ""8_NM"", ""9_CM""",IF(M644="tout alignement chaotique", """3_CB"", ""6_CN"", ""9_CM""",IF(M644="tout alignement non loyal", """2_NB"", ""3_CB"", ""5_NN"", ""6_CN"", ""8_NM"", ""9_CM""",""""&amp;VLOOKUP(M644,Alignements!$A$2:$B$10,2, FALSE)&amp;""""))))))</f>
        <v>"7_LM"</v>
      </c>
      <c r="O644" s="297"/>
      <c r="P644" t="str">
        <f t="shared" si="32"/>
        <v>"Rakshasa, zakya": {
  "Name" : "Rakshasa, zakya",
  "VO" : "Zakya Rakshasa",
  "Family" : "FIEND",
  "Species" : [""],
  "FP" : "5", 
  "Size" : "M",
  "AC" : 18,
  "HP" : 59, 
  "Speed" : "",
  "Alignments" : ["7_LM"],
  "Legendary" : ""}</v>
      </c>
    </row>
    <row r="645" spans="1:16" ht="21">
      <c r="A645" s="299" t="s">
        <v>5297</v>
      </c>
      <c r="B645" s="298" t="s">
        <v>5298</v>
      </c>
      <c r="C645" s="306">
        <v>14</v>
      </c>
      <c r="D645" s="298" t="s">
        <v>4181</v>
      </c>
      <c r="E645" s="297" t="str">
        <f t="shared" si="30"/>
        <v>Créature artificielle</v>
      </c>
      <c r="F645" s="297" t="str">
        <f>VLOOKUP(E645,'Types de monstres'!$A$2:$B$17,2,FALSE)</f>
        <v>ARTIFICIAL_CREATURE</v>
      </c>
      <c r="G645" s="297" t="str">
        <f t="shared" si="31"/>
        <v/>
      </c>
      <c r="H645" s="297" t="str">
        <f>IF(OR(G645="",G645="toute race"),"",VLOOKUP(G645,'Types de monstres'!$F$2:$G$49,2,FALSE))</f>
        <v/>
      </c>
      <c r="I645" s="298" t="s">
        <v>4112</v>
      </c>
      <c r="J645" s="300">
        <v>17</v>
      </c>
      <c r="K645" s="300">
        <v>189</v>
      </c>
      <c r="L645" s="298"/>
      <c r="M645" s="298" t="s">
        <v>4097</v>
      </c>
      <c r="N645" s="297" t="str">
        <f>IF(M645="sans alignement","",IF(M645="tout alignement", """1_LB"", ""2_NB"", ""3_CB"", ""4_LN"", ""5_NN"", ""6_CN"", ""7_LM"", ""8_NM"", ""9_CM""",IF(M645="tout alignement non bon", """4_LN"", ""5_NN"", ""6_CN"", ""7_LM"", ""8_NM"", ""9_CM""",IF(M645="tout alignement mauvais", """7_LM"", ""8_NM"", ""9_CM""",IF(M645="tout alignement chaotique", """3_CB"", ""6_CN"", ""9_CM""",IF(M645="tout alignement non loyal", """2_NB"", ""3_CB"", ""5_NN"", ""6_CN"", ""8_NM"", ""9_CM""",""""&amp;VLOOKUP(M645,Alignements!$A$2:$B$10,2, FALSE)&amp;""""))))))</f>
        <v>"7_LM"</v>
      </c>
      <c r="O645" s="298"/>
      <c r="P645" t="str">
        <f t="shared" si="32"/>
        <v>"Ramasseur de cadavres": {
  "Name" : "Ramasseur de cadavres",
  "VO" : "Cadaver Collector",
  "Family" : "ARTIFICIAL_CREATURE",
  "Species" : [""],
  "FP" : "14", 
  "Size" : "G",
  "AC" : 17,
  "HP" : 189, 
  "Speed" : "",
  "Alignments" : ["7_LM"],
  "Legendary" : ""}</v>
      </c>
    </row>
    <row r="646" spans="1:16">
      <c r="A646" s="61" t="s">
        <v>5299</v>
      </c>
      <c r="B646" s="297" t="s">
        <v>5299</v>
      </c>
      <c r="C646" s="305">
        <v>0</v>
      </c>
      <c r="D646" s="297" t="s">
        <v>4128</v>
      </c>
      <c r="E646" s="297" t="str">
        <f t="shared" si="30"/>
        <v>Bête</v>
      </c>
      <c r="F646" s="297" t="str">
        <f>VLOOKUP(E646,'Types de monstres'!$A$2:$B$17,2,FALSE)</f>
        <v>BEAST</v>
      </c>
      <c r="G646" s="297" t="str">
        <f t="shared" si="31"/>
        <v/>
      </c>
      <c r="H646" s="297" t="str">
        <f>IF(OR(G646="",G646="toute race"),"",VLOOKUP(G646,'Types de monstres'!$F$2:$G$49,2,FALSE))</f>
        <v/>
      </c>
      <c r="I646" s="297" t="s">
        <v>4154</v>
      </c>
      <c r="J646" s="302">
        <v>10</v>
      </c>
      <c r="K646" s="302">
        <v>1</v>
      </c>
      <c r="L646" s="297"/>
      <c r="M646" s="297" t="s">
        <v>4130</v>
      </c>
      <c r="N646" s="297" t="str">
        <f>IF(M646="sans alignement","",IF(M646="tout alignement", """1_LB"", ""2_NB"", ""3_CB"", ""4_LN"", ""5_NN"", ""6_CN"", ""7_LM"", ""8_NM"", ""9_CM""",IF(M646="tout alignement non bon", """4_LN"", ""5_NN"", ""6_CN"", ""7_LM"", ""8_NM"", ""9_CM""",IF(M646="tout alignement mauvais", """7_LM"", ""8_NM"", ""9_CM""",IF(M646="tout alignement chaotique", """3_CB"", ""6_CN"", ""9_CM""",IF(M646="tout alignement non loyal", """2_NB"", ""3_CB"", ""5_NN"", ""6_CN"", ""8_NM"", ""9_CM""",""""&amp;VLOOKUP(M646,Alignements!$A$2:$B$10,2, FALSE)&amp;""""))))))</f>
        <v/>
      </c>
      <c r="O646" s="297"/>
      <c r="P646" t="str">
        <f t="shared" si="32"/>
        <v>"Rat": {
  "Name" : "Rat",
  "VO" : "Rat",
  "Family" : "BEAST",
  "Species" : [""],
  "FP" : "0", 
  "Size" : "TP",
  "AC" : 10,
  "HP" : 1, 
  "Speed" : "",
  "Alignments" : [],
  "Legendary" : ""}</v>
      </c>
    </row>
    <row r="647" spans="1:16">
      <c r="A647" s="61" t="s">
        <v>5300</v>
      </c>
      <c r="B647" s="298" t="s">
        <v>5301</v>
      </c>
      <c r="C647" s="306" t="s">
        <v>5619</v>
      </c>
      <c r="D647" s="298" t="s">
        <v>4128</v>
      </c>
      <c r="E647" s="297" t="str">
        <f t="shared" si="30"/>
        <v>Bête</v>
      </c>
      <c r="F647" s="297" t="str">
        <f>VLOOKUP(E647,'Types de monstres'!$A$2:$B$17,2,FALSE)</f>
        <v>BEAST</v>
      </c>
      <c r="G647" s="297" t="str">
        <f t="shared" si="31"/>
        <v/>
      </c>
      <c r="H647" s="297" t="str">
        <f>IF(OR(G647="",G647="toute race"),"",VLOOKUP(G647,'Types de monstres'!$F$2:$G$49,2,FALSE))</f>
        <v/>
      </c>
      <c r="I647" s="298" t="s">
        <v>4129</v>
      </c>
      <c r="J647" s="300">
        <v>12</v>
      </c>
      <c r="K647" s="300">
        <v>7</v>
      </c>
      <c r="L647" s="298"/>
      <c r="M647" s="298" t="s">
        <v>4130</v>
      </c>
      <c r="N647" s="297" t="str">
        <f>IF(M647="sans alignement","",IF(M647="tout alignement", """1_LB"", ""2_NB"", ""3_CB"", ""4_LN"", ""5_NN"", ""6_CN"", ""7_LM"", ""8_NM"", ""9_CM""",IF(M647="tout alignement non bon", """4_LN"", ""5_NN"", ""6_CN"", ""7_LM"", ""8_NM"", ""9_CM""",IF(M647="tout alignement mauvais", """7_LM"", ""8_NM"", ""9_CM""",IF(M647="tout alignement chaotique", """3_CB"", ""6_CN"", ""9_CM""",IF(M647="tout alignement non loyal", """2_NB"", ""3_CB"", ""5_NN"", ""6_CN"", ""8_NM"", ""9_CM""",""""&amp;VLOOKUP(M647,Alignements!$A$2:$B$10,2, FALSE)&amp;""""))))))</f>
        <v/>
      </c>
      <c r="O647" s="298"/>
      <c r="P647" t="str">
        <f t="shared" si="32"/>
        <v>"Rat géant": {
  "Name" : "Rat géant",
  "VO" : "Giant Rat",
  "Family" : "BEAST",
  "Species" : [""],
  "FP" : "1/8", 
  "Size" : "P",
  "AC" : 12,
  "HP" : 7, 
  "Speed" : "",
  "Alignments" : [],
  "Legendary" : ""}</v>
      </c>
    </row>
    <row r="648" spans="1:16">
      <c r="A648" s="301" t="s">
        <v>5302</v>
      </c>
      <c r="B648" s="297" t="s">
        <v>5303</v>
      </c>
      <c r="C648" s="305">
        <v>0</v>
      </c>
      <c r="D648" s="297" t="s">
        <v>4128</v>
      </c>
      <c r="E648" s="297" t="str">
        <f t="shared" si="30"/>
        <v>Bête</v>
      </c>
      <c r="F648" s="297" t="str">
        <f>VLOOKUP(E648,'Types de monstres'!$A$2:$B$17,2,FALSE)</f>
        <v>BEAST</v>
      </c>
      <c r="G648" s="297" t="str">
        <f t="shared" si="31"/>
        <v/>
      </c>
      <c r="H648" s="297" t="str">
        <f>IF(OR(G648="",G648="toute race"),"",VLOOKUP(G648,'Types de monstres'!$F$2:$G$49,2,FALSE))</f>
        <v/>
      </c>
      <c r="I648" s="297" t="s">
        <v>4154</v>
      </c>
      <c r="J648" s="302">
        <v>12</v>
      </c>
      <c r="K648" s="302">
        <v>2</v>
      </c>
      <c r="L648" s="297"/>
      <c r="M648" s="297" t="s">
        <v>4097</v>
      </c>
      <c r="N648" s="297" t="str">
        <f>IF(M648="sans alignement","",IF(M648="tout alignement", """1_LB"", ""2_NB"", ""3_CB"", ""4_LN"", ""5_NN"", ""6_CN"", ""7_LM"", ""8_NM"", ""9_CM""",IF(M648="tout alignement non bon", """4_LN"", ""5_NN"", ""6_CN"", ""7_LM"", ""8_NM"", ""9_CM""",IF(M648="tout alignement mauvais", """7_LM"", ""8_NM"", ""9_CM""",IF(M648="tout alignement chaotique", """3_CB"", ""6_CN"", ""9_CM""",IF(M648="tout alignement non loyal", """2_NB"", ""3_CB"", ""5_NN"", ""6_CN"", ""8_NM"", ""9_CM""",""""&amp;VLOOKUP(M648,Alignements!$A$2:$B$10,2, FALSE)&amp;""""))))))</f>
        <v>"7_LM"</v>
      </c>
      <c r="O648" s="297"/>
      <c r="P648" t="str">
        <f t="shared" si="32"/>
        <v>"Rat-crâne": {
  "Name" : "Rat-crâne",
  "VO" : "Cranium Rat",
  "Family" : "BEAST",
  "Species" : [""],
  "FP" : "0", 
  "Size" : "TP",
  "AC" : 12,
  "HP" : 2, 
  "Speed" : "",
  "Alignments" : ["7_LM"],
  "Legendary" : ""}</v>
      </c>
    </row>
    <row r="649" spans="1:16" ht="21">
      <c r="A649" s="61" t="s">
        <v>5304</v>
      </c>
      <c r="B649" s="298" t="s">
        <v>5305</v>
      </c>
      <c r="C649" s="306">
        <v>2</v>
      </c>
      <c r="D649" s="298" t="s">
        <v>4351</v>
      </c>
      <c r="E649" s="297" t="str">
        <f t="shared" si="30"/>
        <v>Humanoïde</v>
      </c>
      <c r="F649" s="297" t="str">
        <f>VLOOKUP(E649,'Types de monstres'!$A$2:$B$17,2,FALSE)</f>
        <v>HUMANOID</v>
      </c>
      <c r="G649" s="297" t="str">
        <f t="shared" si="31"/>
        <v>humain, métamorphe</v>
      </c>
      <c r="H649" s="297" t="s">
        <v>5721</v>
      </c>
      <c r="I649" s="298" t="s">
        <v>4091</v>
      </c>
      <c r="J649" s="300">
        <v>12</v>
      </c>
      <c r="K649" s="300">
        <v>33</v>
      </c>
      <c r="L649" s="298"/>
      <c r="M649" s="298" t="s">
        <v>4097</v>
      </c>
      <c r="N649" s="297" t="str">
        <f>IF(M649="sans alignement","",IF(M649="tout alignement", """1_LB"", ""2_NB"", ""3_CB"", ""4_LN"", ""5_NN"", ""6_CN"", ""7_LM"", ""8_NM"", ""9_CM""",IF(M649="tout alignement non bon", """4_LN"", ""5_NN"", ""6_CN"", ""7_LM"", ""8_NM"", ""9_CM""",IF(M649="tout alignement mauvais", """7_LM"", ""8_NM"", ""9_CM""",IF(M649="tout alignement chaotique", """3_CB"", ""6_CN"", ""9_CM""",IF(M649="tout alignement non loyal", """2_NB"", ""3_CB"", ""5_NN"", ""6_CN"", ""8_NM"", ""9_CM""",""""&amp;VLOOKUP(M649,Alignements!$A$2:$B$10,2, FALSE)&amp;""""))))))</f>
        <v>"7_LM"</v>
      </c>
      <c r="O649" s="298"/>
      <c r="P649" t="str">
        <f t="shared" si="32"/>
        <v>"Rat-garou": {
  "Name" : "Rat-garou",
  "VO" : "Wererat",
  "Family" : "HUMANOID",
  "Species" : ["HUMAN", "METAMORPH"],
  "FP" : "2", 
  "Size" : "M",
  "AC" : 12,
  "HP" : 33, 
  "Speed" : "",
  "Alignments" : ["7_LM"],
  "Legendary" : ""}</v>
      </c>
    </row>
    <row r="650" spans="1:16">
      <c r="A650" s="301" t="s">
        <v>5306</v>
      </c>
      <c r="B650" s="297" t="s">
        <v>5307</v>
      </c>
      <c r="C650" s="305">
        <v>12</v>
      </c>
      <c r="D650" s="297" t="s">
        <v>4121</v>
      </c>
      <c r="E650" s="297" t="str">
        <f t="shared" si="30"/>
        <v>Créature monstrueuse</v>
      </c>
      <c r="F650" s="297" t="str">
        <f>VLOOKUP(E650,'Types de monstres'!$A$2:$B$17,2,FALSE)</f>
        <v>MONSTROUS_CREATURE</v>
      </c>
      <c r="G650" s="297" t="str">
        <f t="shared" si="31"/>
        <v/>
      </c>
      <c r="H650" s="297" t="str">
        <f>IF(OR(G650="",G650="toute race"),"",VLOOKUP(G650,'Types de monstres'!$F$2:$G$49,2,FALSE))</f>
        <v/>
      </c>
      <c r="I650" s="297" t="s">
        <v>4112</v>
      </c>
      <c r="J650" s="302">
        <v>19</v>
      </c>
      <c r="K650" s="302">
        <v>189</v>
      </c>
      <c r="L650" s="297"/>
      <c r="M650" s="297" t="s">
        <v>4243</v>
      </c>
      <c r="N650" s="297" t="str">
        <f>IF(M650="sans alignement","",IF(M650="tout alignement", """1_LB"", ""2_NB"", ""3_CB"", ""4_LN"", ""5_NN"", ""6_CN"", ""7_LM"", ""8_NM"", ""9_CM""",IF(M650="tout alignement non bon", """4_LN"", ""5_NN"", ""6_CN"", ""7_LM"", ""8_NM"", ""9_CM""",IF(M650="tout alignement mauvais", """7_LM"", ""8_NM"", ""9_CM""",IF(M650="tout alignement chaotique", """3_CB"", ""6_CN"", ""9_CM""",IF(M650="tout alignement non loyal", """2_NB"", ""3_CB"", ""5_NN"", ""6_CN"", ""8_NM"", ""9_CM""",""""&amp;VLOOKUP(M650,Alignements!$A$2:$B$10,2, FALSE)&amp;""""))))))</f>
        <v>"6_CN"</v>
      </c>
      <c r="O650" s="297"/>
      <c r="P650" t="str">
        <f t="shared" si="32"/>
        <v>"Ravageur gris": {
  "Name" : "Ravageur gris",
  "VO" : "Gray Render",
  "Family" : "MONSTROUS_CREATURE",
  "Species" : [""],
  "FP" : "12", 
  "Size" : "G",
  "AC" : 19,
  "HP" : 189, 
  "Speed" : "",
  "Alignments" : ["6_CN"],
  "Legendary" : ""}</v>
      </c>
    </row>
    <row r="651" spans="1:16">
      <c r="A651" s="299" t="s">
        <v>5308</v>
      </c>
      <c r="B651" s="298" t="s">
        <v>5309</v>
      </c>
      <c r="C651" s="306">
        <v>5</v>
      </c>
      <c r="D651" s="298" t="s">
        <v>4117</v>
      </c>
      <c r="E651" s="297" t="str">
        <f t="shared" si="30"/>
        <v>Mort-vivant</v>
      </c>
      <c r="F651" s="297" t="str">
        <f>VLOOKUP(E651,'Types de monstres'!$A$2:$B$17,2,FALSE)</f>
        <v>UNDEAD</v>
      </c>
      <c r="G651" s="297" t="str">
        <f t="shared" si="31"/>
        <v/>
      </c>
      <c r="H651" s="297" t="str">
        <f>IF(OR(G651="",G651="toute race"),"",VLOOKUP(G651,'Types de monstres'!$F$2:$G$49,2,FALSE))</f>
        <v/>
      </c>
      <c r="I651" s="298" t="s">
        <v>4091</v>
      </c>
      <c r="J651" s="300">
        <v>10</v>
      </c>
      <c r="K651" s="300">
        <v>76</v>
      </c>
      <c r="L651" s="298"/>
      <c r="M651" s="298" t="s">
        <v>4137</v>
      </c>
      <c r="N651" s="297" t="str">
        <f>IF(M651="sans alignement","",IF(M651="tout alignement", """1_LB"", ""2_NB"", ""3_CB"", ""4_LN"", ""5_NN"", ""6_CN"", ""7_LM"", ""8_NM"", ""9_CM""",IF(M651="tout alignement non bon", """4_LN"", ""5_NN"", ""6_CN"", ""7_LM"", ""8_NM"", ""9_CM""",IF(M651="tout alignement mauvais", """7_LM"", ""8_NM"", ""9_CM""",IF(M651="tout alignement chaotique", """3_CB"", ""6_CN"", ""9_CM""",IF(M651="tout alignement non loyal", """2_NB"", ""3_CB"", ""5_NN"", ""6_CN"", ""8_NM"", ""9_CM""",""""&amp;VLOOKUP(M651,Alignements!$A$2:$B$10,2, FALSE)&amp;""""))))))</f>
        <v>"9_CM"</v>
      </c>
      <c r="O651" s="298"/>
      <c r="P651" t="str">
        <f t="shared" si="32"/>
        <v>"Rejeton de Kyuss": {
  "Name" : "Rejeton de Kyuss",
  "VO" : "Spawn of Kyuss",
  "Family" : "UNDEAD",
  "Species" : [""],
  "FP" : "5", 
  "Size" : "M",
  "AC" : 10,
  "HP" : 76, 
  "Speed" : "",
  "Alignments" : ["9_CM"],
  "Legendary" : ""}</v>
      </c>
    </row>
    <row r="652" spans="1:16">
      <c r="A652" s="301" t="s">
        <v>5310</v>
      </c>
      <c r="B652" s="297" t="s">
        <v>5311</v>
      </c>
      <c r="C652" s="305">
        <v>3</v>
      </c>
      <c r="D652" s="297" t="s">
        <v>4279</v>
      </c>
      <c r="E652" s="297" t="str">
        <f t="shared" si="30"/>
        <v>Humanoïde</v>
      </c>
      <c r="F652" s="297" t="str">
        <f>VLOOKUP(E652,'Types de monstres'!$A$2:$B$17,2,FALSE)</f>
        <v>HUMANOID</v>
      </c>
      <c r="G652" s="297" t="str">
        <f t="shared" si="31"/>
        <v>métamorphe</v>
      </c>
      <c r="H652" s="297" t="str">
        <f>IF(OR(G652="",G652="toute race"),"",VLOOKUP(G652,'Types de monstres'!$F$2:$G$49,2,FALSE))</f>
        <v>METAMORPH</v>
      </c>
      <c r="I652" s="297" t="s">
        <v>4091</v>
      </c>
      <c r="J652" s="302">
        <v>11</v>
      </c>
      <c r="K652" s="302">
        <v>67</v>
      </c>
      <c r="L652" s="297" t="s">
        <v>4113</v>
      </c>
      <c r="M652" s="297" t="s">
        <v>4118</v>
      </c>
      <c r="N652" s="297" t="str">
        <f>IF(M652="sans alignement","",IF(M652="tout alignement", """1_LB"", ""2_NB"", ""3_CB"", ""4_LN"", ""5_NN"", ""6_CN"", ""7_LM"", ""8_NM"", ""9_CM""",IF(M652="tout alignement non bon", """4_LN"", ""5_NN"", ""6_CN"", ""7_LM"", ""8_NM"", ""9_CM""",IF(M652="tout alignement mauvais", """7_LM"", ""8_NM"", ""9_CM""",IF(M652="tout alignement chaotique", """3_CB"", ""6_CN"", ""9_CM""",IF(M652="tout alignement non loyal", """2_NB"", ""3_CB"", ""5_NN"", ""6_CN"", ""8_NM"", ""9_CM""",""""&amp;VLOOKUP(M652,Alignements!$A$2:$B$10,2, FALSE)&amp;""""))))))</f>
        <v>"8_NM"</v>
      </c>
      <c r="O652" s="297"/>
      <c r="P652" t="str">
        <f t="shared" si="32"/>
        <v>"Rejeton des abîmes": {
  "Name" : "Rejeton des abîmes",
  "VO" : "Deep Scion",
  "Family" : "HUMANOID",
  "Species" : ["METAMORPH"],
  "FP" : "3", 
  "Size" : "M",
  "AC" : 11,
  "HP" : 67, 
  "Speed" : "nage",
  "Alignments" : ["8_NM"],
  "Legendary" : ""}</v>
      </c>
    </row>
    <row r="653" spans="1:16">
      <c r="A653" s="299" t="s">
        <v>5312</v>
      </c>
      <c r="B653" s="298" t="s">
        <v>5313</v>
      </c>
      <c r="C653" s="306">
        <v>1</v>
      </c>
      <c r="D653" s="298" t="s">
        <v>4703</v>
      </c>
      <c r="E653" s="297" t="str">
        <f t="shared" si="30"/>
        <v>Humanoïde</v>
      </c>
      <c r="F653" s="297" t="str">
        <f>VLOOKUP(E653,'Types de monstres'!$A$2:$B$17,2,FALSE)</f>
        <v>HUMANOID</v>
      </c>
      <c r="G653" s="297" t="str">
        <f t="shared" si="31"/>
        <v/>
      </c>
      <c r="H653" s="297" t="str">
        <f>IF(OR(G653="",G653="toute race"),"",VLOOKUP(G653,'Types de monstres'!$F$2:$G$49,2,FALSE))</f>
        <v/>
      </c>
      <c r="I653" s="298" t="s">
        <v>4091</v>
      </c>
      <c r="J653" s="300">
        <v>11</v>
      </c>
      <c r="K653" s="300">
        <v>32</v>
      </c>
      <c r="L653" s="298" t="s">
        <v>4113</v>
      </c>
      <c r="M653" s="298" t="s">
        <v>4118</v>
      </c>
      <c r="N653" s="297" t="str">
        <f>IF(M653="sans alignement","",IF(M653="tout alignement", """1_LB"", ""2_NB"", ""3_CB"", ""4_LN"", ""5_NN"", ""6_CN"", ""7_LM"", ""8_NM"", ""9_CM""",IF(M653="tout alignement non bon", """4_LN"", ""5_NN"", ""6_CN"", ""7_LM"", ""8_NM"", ""9_CM""",IF(M653="tout alignement mauvais", """7_LM"", ""8_NM"", ""9_CM""",IF(M653="tout alignement chaotique", """3_CB"", ""6_CN"", ""9_CM""",IF(M653="tout alignement non loyal", """2_NB"", ""3_CB"", ""5_NN"", ""6_CN"", ""8_NM"", ""9_CM""",""""&amp;VLOOKUP(M653,Alignements!$A$2:$B$10,2, FALSE)&amp;""""))))))</f>
        <v>"8_NM"</v>
      </c>
      <c r="O653" s="298"/>
      <c r="P653" t="str">
        <f t="shared" si="32"/>
        <v>"Rejeton des mers": {
  "Name" : "Rejeton des mers",
  "VO" : "Sea Spawn",
  "Family" : "HUMANOID",
  "Species" : [""],
  "FP" : "1", 
  "Size" : "M",
  "AC" : 11,
  "HP" : 32, 
  "Speed" : "nage",
  "Alignments" : ["8_NM"],
  "Legendary" : ""}</v>
      </c>
    </row>
    <row r="654" spans="1:16" ht="31.5">
      <c r="A654" s="301" t="s">
        <v>5314</v>
      </c>
      <c r="B654" s="297" t="s">
        <v>5315</v>
      </c>
      <c r="C654" s="305">
        <v>6</v>
      </c>
      <c r="D654" s="297" t="s">
        <v>4111</v>
      </c>
      <c r="E654" s="297" t="str">
        <f t="shared" si="30"/>
        <v>Aberration</v>
      </c>
      <c r="F654" s="297" t="str">
        <f>VLOOKUP(E654,'Types de monstres'!$A$2:$B$17,2,FALSE)</f>
        <v>ABERRATION</v>
      </c>
      <c r="G654" s="297" t="str">
        <f t="shared" si="31"/>
        <v/>
      </c>
      <c r="H654" s="297" t="str">
        <f>IF(OR(G654="",G654="toute race"),"",VLOOKUP(G654,'Types de monstres'!$F$2:$G$49,2,FALSE))</f>
        <v/>
      </c>
      <c r="I654" s="297" t="s">
        <v>4091</v>
      </c>
      <c r="J654" s="302">
        <v>15</v>
      </c>
      <c r="K654" s="302">
        <v>102</v>
      </c>
      <c r="L654" s="297" t="s">
        <v>4092</v>
      </c>
      <c r="M654" s="297" t="s">
        <v>4118</v>
      </c>
      <c r="N654" s="297" t="str">
        <f>IF(M654="sans alignement","",IF(M654="tout alignement", """1_LB"", ""2_NB"", ""3_CB"", ""4_LN"", ""5_NN"", ""6_CN"", ""7_LM"", ""8_NM"", ""9_CM""",IF(M654="tout alignement non bon", """4_LN"", ""5_NN"", ""6_CN"", ""7_LM"", ""8_NM"", ""9_CM""",IF(M654="tout alignement mauvais", """7_LM"", ""8_NM"", ""9_CM""",IF(M654="tout alignement chaotique", """3_CB"", ""6_CN"", ""9_CM""",IF(M654="tout alignement non loyal", """2_NB"", ""3_CB"", ""5_NN"", ""6_CN"", ""8_NM"", ""9_CM""",""""&amp;VLOOKUP(M654,Alignements!$A$2:$B$10,2, FALSE)&amp;""""))))))</f>
        <v>"8_NM"</v>
      </c>
      <c r="O654" s="297"/>
      <c r="P654" t="str">
        <f t="shared" si="32"/>
        <v>"Rejeton des profondeurs, émissaire": {
  "Name" : "Rejeton des profondeurs, émissaire",
  "VO" : "Core Spawn Emissary",
  "Family" : "ABERRATION",
  "Species" : [""],
  "FP" : "6", 
  "Size" : "M",
  "AC" : 15,
  "HP" : 102, 
  "Speed" : "vol",
  "Alignments" : ["8_NM"],
  "Legendary" : ""}</v>
      </c>
    </row>
    <row r="655" spans="1:16" ht="31.5">
      <c r="A655" s="299" t="s">
        <v>5316</v>
      </c>
      <c r="B655" s="298" t="s">
        <v>5317</v>
      </c>
      <c r="C655" s="306">
        <v>13</v>
      </c>
      <c r="D655" s="298" t="s">
        <v>4111</v>
      </c>
      <c r="E655" s="297" t="str">
        <f t="shared" si="30"/>
        <v>Aberration</v>
      </c>
      <c r="F655" s="297" t="str">
        <f>VLOOKUP(E655,'Types de monstres'!$A$2:$B$17,2,FALSE)</f>
        <v>ABERRATION</v>
      </c>
      <c r="G655" s="297" t="str">
        <f t="shared" si="31"/>
        <v/>
      </c>
      <c r="H655" s="297" t="str">
        <f>IF(OR(G655="",G655="toute race"),"",VLOOKUP(G655,'Types de monstres'!$F$2:$G$49,2,FALSE))</f>
        <v/>
      </c>
      <c r="I655" s="298" t="s">
        <v>4091</v>
      </c>
      <c r="J655" s="300">
        <v>17</v>
      </c>
      <c r="K655" s="300">
        <v>153</v>
      </c>
      <c r="L655" s="298"/>
      <c r="M655" s="298" t="s">
        <v>4137</v>
      </c>
      <c r="N655" s="297" t="str">
        <f>IF(M655="sans alignement","",IF(M655="tout alignement", """1_LB"", ""2_NB"", ""3_CB"", ""4_LN"", ""5_NN"", ""6_CN"", ""7_LM"", ""8_NM"", ""9_CM""",IF(M655="tout alignement non bon", """4_LN"", ""5_NN"", ""6_CN"", ""7_LM"", ""8_NM"", ""9_CM""",IF(M655="tout alignement mauvais", """7_LM"", ""8_NM"", ""9_CM""",IF(M655="tout alignement chaotique", """3_CB"", ""6_CN"", ""9_CM""",IF(M655="tout alignement non loyal", """2_NB"", ""3_CB"", ""5_NN"", ""6_CN"", ""8_NM"", ""9_CM""",""""&amp;VLOOKUP(M655,Alignements!$A$2:$B$10,2, FALSE)&amp;""""))))))</f>
        <v>"9_CM"</v>
      </c>
      <c r="O655" s="298"/>
      <c r="P655" t="str">
        <f t="shared" si="32"/>
        <v>"Rejeton des profondeurs, prophète": {
  "Name" : "Rejeton des profondeurs, prophète",
  "VO" : "Core Spawn Seer",
  "Family" : "ABERRATION",
  "Species" : [""],
  "FP" : "13", 
  "Size" : "M",
  "AC" : 17,
  "HP" : 153, 
  "Speed" : "",
  "Alignments" : ["9_CM"],
  "Legendary" : ""}</v>
      </c>
    </row>
    <row r="656" spans="1:16" ht="21">
      <c r="A656" s="301" t="s">
        <v>5318</v>
      </c>
      <c r="B656" s="297" t="s">
        <v>5319</v>
      </c>
      <c r="C656" s="305">
        <v>15</v>
      </c>
      <c r="D656" s="297" t="s">
        <v>4111</v>
      </c>
      <c r="E656" s="297" t="str">
        <f t="shared" si="30"/>
        <v>Aberration</v>
      </c>
      <c r="F656" s="297" t="str">
        <f>VLOOKUP(E656,'Types de monstres'!$A$2:$B$17,2,FALSE)</f>
        <v>ABERRATION</v>
      </c>
      <c r="G656" s="297" t="str">
        <f t="shared" si="31"/>
        <v/>
      </c>
      <c r="H656" s="297" t="str">
        <f>IF(OR(G656="",G656="toute race"),"",VLOOKUP(G656,'Types de monstres'!$F$2:$G$49,2,FALSE))</f>
        <v/>
      </c>
      <c r="I656" s="297" t="s">
        <v>4371</v>
      </c>
      <c r="J656" s="302">
        <v>18</v>
      </c>
      <c r="K656" s="302">
        <v>279</v>
      </c>
      <c r="L656" s="297"/>
      <c r="M656" s="297" t="s">
        <v>4137</v>
      </c>
      <c r="N656" s="297" t="str">
        <f>IF(M656="sans alignement","",IF(M656="tout alignement", """1_LB"", ""2_NB"", ""3_CB"", ""4_LN"", ""5_NN"", ""6_CN"", ""7_LM"", ""8_NM"", ""9_CM""",IF(M656="tout alignement non bon", """4_LN"", ""5_NN"", ""6_CN"", ""7_LM"", ""8_NM"", ""9_CM""",IF(M656="tout alignement mauvais", """7_LM"", ""8_NM"", ""9_CM""",IF(M656="tout alignement chaotique", """3_CB"", ""6_CN"", ""9_CM""",IF(M656="tout alignement non loyal", """2_NB"", ""3_CB"", ""5_NN"", ""6_CN"", ""8_NM"", ""9_CM""",""""&amp;VLOOKUP(M656,Alignements!$A$2:$B$10,2, FALSE)&amp;""""))))))</f>
        <v>"9_CM"</v>
      </c>
      <c r="O656" s="297"/>
      <c r="P656" t="str">
        <f t="shared" si="32"/>
        <v>"Rejeton des profondeurs, ver": {
  "Name" : "Rejeton des profondeurs, ver",
  "VO" : "Core Spawn Worm",
  "Family" : "ABERRATION",
  "Species" : [""],
  "FP" : "15", 
  "Size" : "Gig",
  "AC" : 18,
  "HP" : 279, 
  "Speed" : "",
  "Alignments" : ["9_CM"],
  "Legendary" : ""}</v>
      </c>
    </row>
    <row r="657" spans="1:16" ht="31.5">
      <c r="A657" s="299" t="s">
        <v>5320</v>
      </c>
      <c r="B657" s="298" t="s">
        <v>5321</v>
      </c>
      <c r="C657" s="306">
        <v>1</v>
      </c>
      <c r="D657" s="298" t="s">
        <v>4111</v>
      </c>
      <c r="E657" s="297" t="str">
        <f t="shared" si="30"/>
        <v>Aberration</v>
      </c>
      <c r="F657" s="297" t="str">
        <f>VLOOKUP(E657,'Types de monstres'!$A$2:$B$17,2,FALSE)</f>
        <v>ABERRATION</v>
      </c>
      <c r="G657" s="297" t="str">
        <f t="shared" si="31"/>
        <v/>
      </c>
      <c r="H657" s="297" t="str">
        <f>IF(OR(G657="",G657="toute race"),"",VLOOKUP(G657,'Types de monstres'!$F$2:$G$49,2,FALSE))</f>
        <v/>
      </c>
      <c r="I657" s="298" t="s">
        <v>4129</v>
      </c>
      <c r="J657" s="300">
        <v>12</v>
      </c>
      <c r="K657" s="300">
        <v>21</v>
      </c>
      <c r="L657" s="298"/>
      <c r="M657" s="298" t="s">
        <v>4137</v>
      </c>
      <c r="N657" s="297" t="str">
        <f>IF(M657="sans alignement","",IF(M657="tout alignement", """1_LB"", ""2_NB"", ""3_CB"", ""4_LN"", ""5_NN"", ""6_CN"", ""7_LM"", ""8_NM"", ""9_CM""",IF(M657="tout alignement non bon", """4_LN"", ""5_NN"", ""6_CN"", ""7_LM"", ""8_NM"", ""9_CM""",IF(M657="tout alignement mauvais", """7_LM"", ""8_NM"", ""9_CM""",IF(M657="tout alignement chaotique", """3_CB"", ""6_CN"", ""9_CM""",IF(M657="tout alignement non loyal", """2_NB"", ""3_CB"", ""5_NN"", ""6_CN"", ""8_NM"", ""9_CM""",""""&amp;VLOOKUP(M657,Alignements!$A$2:$B$10,2, FALSE)&amp;""""))))))</f>
        <v>"9_CM"</v>
      </c>
      <c r="O657" s="298"/>
      <c r="P657" t="str">
        <f t="shared" si="32"/>
        <v>"Rejeton des profondeurs, vermine": {
  "Name" : "Rejeton des profondeurs, vermine",
  "VO" : "Core Spawn Crawler",
  "Family" : "ABERRATION",
  "Species" : [""],
  "FP" : "1", 
  "Size" : "P",
  "AC" : 12,
  "HP" : 21, 
  "Speed" : "",
  "Alignments" : ["9_CM"],
  "Legendary" : ""}</v>
      </c>
    </row>
    <row r="658" spans="1:16" ht="21">
      <c r="A658" s="301" t="s">
        <v>5322</v>
      </c>
      <c r="B658" s="297" t="s">
        <v>5323</v>
      </c>
      <c r="C658" s="305">
        <v>10</v>
      </c>
      <c r="D658" s="297" t="s">
        <v>4111</v>
      </c>
      <c r="E658" s="297" t="str">
        <f t="shared" si="30"/>
        <v>Aberration</v>
      </c>
      <c r="F658" s="297" t="str">
        <f>VLOOKUP(E658,'Types de monstres'!$A$2:$B$17,2,FALSE)</f>
        <v>ABERRATION</v>
      </c>
      <c r="G658" s="297" t="str">
        <f t="shared" si="31"/>
        <v/>
      </c>
      <c r="H658" s="297" t="str">
        <f>IF(OR(G658="",G658="toute race"),"",VLOOKUP(G658,'Types de monstres'!$F$2:$G$49,2,FALSE))</f>
        <v/>
      </c>
      <c r="I658" s="297" t="s">
        <v>4112</v>
      </c>
      <c r="J658" s="302">
        <v>16</v>
      </c>
      <c r="K658" s="302">
        <v>136</v>
      </c>
      <c r="L658" s="297"/>
      <c r="M658" s="297" t="s">
        <v>4137</v>
      </c>
      <c r="N658" s="297" t="str">
        <f>IF(M658="sans alignement","",IF(M658="tout alignement", """1_LB"", ""2_NB"", ""3_CB"", ""4_LN"", ""5_NN"", ""6_CN"", ""7_LM"", ""8_NM"", ""9_CM""",IF(M658="tout alignement non bon", """4_LN"", ""5_NN"", ""6_CN"", ""7_LM"", ""8_NM"", ""9_CM""",IF(M658="tout alignement mauvais", """7_LM"", ""8_NM"", ""9_CM""",IF(M658="tout alignement chaotique", """3_CB"", ""6_CN"", ""9_CM""",IF(M658="tout alignement non loyal", """2_NB"", ""3_CB"", ""5_NN"", ""6_CN"", ""8_NM"", ""9_CM""",""""&amp;VLOOKUP(M658,Alignements!$A$2:$B$10,2, FALSE)&amp;""""))))))</f>
        <v>"9_CM"</v>
      </c>
      <c r="O658" s="297"/>
      <c r="P658" t="str">
        <f t="shared" si="32"/>
        <v>"Rejeton stellaire, colosse": {
  "Name" : "Rejeton stellaire, colosse",
  "VO" : "Star Spawn Hulk",
  "Family" : "ABERRATION",
  "Species" : [""],
  "FP" : "10", 
  "Size" : "G",
  "AC" : 16,
  "HP" : 136, 
  "Speed" : "",
  "Alignments" : ["9_CM"],
  "Legendary" : ""}</v>
      </c>
    </row>
    <row r="659" spans="1:16" ht="21">
      <c r="A659" s="299" t="s">
        <v>5324</v>
      </c>
      <c r="B659" s="298" t="s">
        <v>5325</v>
      </c>
      <c r="C659" s="306" t="s">
        <v>5618</v>
      </c>
      <c r="D659" s="298" t="s">
        <v>4111</v>
      </c>
      <c r="E659" s="297" t="str">
        <f t="shared" si="30"/>
        <v>Aberration</v>
      </c>
      <c r="F659" s="297" t="str">
        <f>VLOOKUP(E659,'Types de monstres'!$A$2:$B$17,2,FALSE)</f>
        <v>ABERRATION</v>
      </c>
      <c r="G659" s="297" t="str">
        <f t="shared" si="31"/>
        <v/>
      </c>
      <c r="H659" s="297" t="str">
        <f>IF(OR(G659="",G659="toute race"),"",VLOOKUP(G659,'Types de monstres'!$F$2:$G$49,2,FALSE))</f>
        <v/>
      </c>
      <c r="I659" s="298" t="s">
        <v>4129</v>
      </c>
      <c r="J659" s="300">
        <v>11</v>
      </c>
      <c r="K659" s="300">
        <v>17</v>
      </c>
      <c r="L659" s="298"/>
      <c r="M659" s="298" t="s">
        <v>4118</v>
      </c>
      <c r="N659" s="297" t="str">
        <f>IF(M659="sans alignement","",IF(M659="tout alignement", """1_LB"", ""2_NB"", ""3_CB"", ""4_LN"", ""5_NN"", ""6_CN"", ""7_LM"", ""8_NM"", ""9_CM""",IF(M659="tout alignement non bon", """4_LN"", ""5_NN"", ""6_CN"", ""7_LM"", ""8_NM"", ""9_CM""",IF(M659="tout alignement mauvais", """7_LM"", ""8_NM"", ""9_CM""",IF(M659="tout alignement chaotique", """3_CB"", ""6_CN"", ""9_CM""",IF(M659="tout alignement non loyal", """2_NB"", ""3_CB"", ""5_NN"", ""6_CN"", ""8_NM"", ""9_CM""",""""&amp;VLOOKUP(M659,Alignements!$A$2:$B$10,2, FALSE)&amp;""""))))))</f>
        <v>"8_NM"</v>
      </c>
      <c r="O659" s="298"/>
      <c r="P659" t="str">
        <f t="shared" si="32"/>
        <v>"Rejeton stellaire, frissonneur": {
  "Name" : "Rejeton stellaire, frissonneur",
  "VO" : "Star Spawn Grue",
  "Family" : "ABERRATION",
  "Species" : [""],
  "FP" : "1/4", 
  "Size" : "P",
  "AC" : 11,
  "HP" : 17, 
  "Speed" : "",
  "Alignments" : ["8_NM"],
  "Legendary" : ""}</v>
      </c>
    </row>
    <row r="660" spans="1:16" ht="21">
      <c r="A660" s="301" t="s">
        <v>5326</v>
      </c>
      <c r="B660" s="297" t="s">
        <v>5327</v>
      </c>
      <c r="C660" s="305">
        <v>16</v>
      </c>
      <c r="D660" s="297" t="s">
        <v>4111</v>
      </c>
      <c r="E660" s="297" t="str">
        <f t="shared" si="30"/>
        <v>Aberration</v>
      </c>
      <c r="F660" s="297" t="str">
        <f>VLOOKUP(E660,'Types de monstres'!$A$2:$B$17,2,FALSE)</f>
        <v>ABERRATION</v>
      </c>
      <c r="G660" s="297" t="str">
        <f t="shared" si="31"/>
        <v/>
      </c>
      <c r="H660" s="297" t="str">
        <f>IF(OR(G660="",G660="toute race"),"",VLOOKUP(G660,'Types de monstres'!$F$2:$G$49,2,FALSE))</f>
        <v/>
      </c>
      <c r="I660" s="297" t="s">
        <v>4091</v>
      </c>
      <c r="J660" s="302">
        <v>16</v>
      </c>
      <c r="K660" s="302">
        <v>168</v>
      </c>
      <c r="L660" s="297"/>
      <c r="M660" s="297" t="s">
        <v>4137</v>
      </c>
      <c r="N660" s="297" t="str">
        <f>IF(M660="sans alignement","",IF(M660="tout alignement", """1_LB"", ""2_NB"", ""3_CB"", ""4_LN"", ""5_NN"", ""6_CN"", ""7_LM"", ""8_NM"", ""9_CM""",IF(M660="tout alignement non bon", """4_LN"", ""5_NN"", ""6_CN"", ""7_LM"", ""8_NM"", ""9_CM""",IF(M660="tout alignement mauvais", """7_LM"", ""8_NM"", ""9_CM""",IF(M660="tout alignement chaotique", """3_CB"", ""6_CN"", ""9_CM""",IF(M660="tout alignement non loyal", """2_NB"", ""3_CB"", ""5_NN"", ""6_CN"", ""8_NM"", ""9_CM""",""""&amp;VLOOKUP(M660,Alignements!$A$2:$B$10,2, FALSE)&amp;""""))))))</f>
        <v>"9_CM"</v>
      </c>
      <c r="O660" s="297"/>
      <c r="P660" t="str">
        <f t="shared" si="32"/>
        <v>"Rejeton stellaire, mage des larves": {
  "Name" : "Rejeton stellaire, mage des larves",
  "VO" : "Star Spawn Larva Mage",
  "Family" : "ABERRATION",
  "Species" : [""],
  "FP" : "16", 
  "Size" : "M",
  "AC" : 16,
  "HP" : 168, 
  "Speed" : "",
  "Alignments" : ["9_CM"],
  "Legendary" : ""}</v>
      </c>
    </row>
    <row r="661" spans="1:16" ht="21">
      <c r="A661" s="299" t="s">
        <v>5328</v>
      </c>
      <c r="B661" s="298" t="s">
        <v>5329</v>
      </c>
      <c r="C661" s="306">
        <v>5</v>
      </c>
      <c r="D661" s="298" t="s">
        <v>4111</v>
      </c>
      <c r="E661" s="297" t="str">
        <f t="shared" si="30"/>
        <v>Aberration</v>
      </c>
      <c r="F661" s="297" t="str">
        <f>VLOOKUP(E661,'Types de monstres'!$A$2:$B$17,2,FALSE)</f>
        <v>ABERRATION</v>
      </c>
      <c r="G661" s="297" t="str">
        <f t="shared" si="31"/>
        <v/>
      </c>
      <c r="H661" s="297" t="str">
        <f>IF(OR(G661="",G661="toute race"),"",VLOOKUP(G661,'Types de monstres'!$F$2:$G$49,2,FALSE))</f>
        <v/>
      </c>
      <c r="I661" s="298" t="s">
        <v>4091</v>
      </c>
      <c r="J661" s="300">
        <v>14</v>
      </c>
      <c r="K661" s="300">
        <v>71</v>
      </c>
      <c r="L661" s="298"/>
      <c r="M661" s="298" t="s">
        <v>4137</v>
      </c>
      <c r="N661" s="297" t="str">
        <f>IF(M661="sans alignement","",IF(M661="tout alignement", """1_LB"", ""2_NB"", ""3_CB"", ""4_LN"", ""5_NN"", ""6_CN"", ""7_LM"", ""8_NM"", ""9_CM""",IF(M661="tout alignement non bon", """4_LN"", ""5_NN"", ""6_CN"", ""7_LM"", ""8_NM"", ""9_CM""",IF(M661="tout alignement mauvais", """7_LM"", ""8_NM"", ""9_CM""",IF(M661="tout alignement chaotique", """3_CB"", ""6_CN"", ""9_CM""",IF(M661="tout alignement non loyal", """2_NB"", ""3_CB"", ""5_NN"", ""6_CN"", ""8_NM"", ""9_CM""",""""&amp;VLOOKUP(M661,Alignements!$A$2:$B$10,2, FALSE)&amp;""""))))))</f>
        <v>"9_CM"</v>
      </c>
      <c r="O661" s="298"/>
      <c r="P661" t="str">
        <f t="shared" si="32"/>
        <v>"Rejeton stellaire, mutileur": {
  "Name" : "Rejeton stellaire, mutileur",
  "VO" : "Star Spawn Mangler",
  "Family" : "ABERRATION",
  "Species" : [""],
  "FP" : "5", 
  "Size" : "M",
  "AC" : 14,
  "HP" : 71, 
  "Speed" : "",
  "Alignments" : ["9_CM"],
  "Legendary" : ""}</v>
      </c>
    </row>
    <row r="662" spans="1:16" ht="21">
      <c r="A662" s="301" t="s">
        <v>5330</v>
      </c>
      <c r="B662" s="297" t="s">
        <v>5331</v>
      </c>
      <c r="C662" s="305">
        <v>13</v>
      </c>
      <c r="D662" s="297" t="s">
        <v>4111</v>
      </c>
      <c r="E662" s="297" t="str">
        <f t="shared" si="30"/>
        <v>Aberration</v>
      </c>
      <c r="F662" s="297" t="str">
        <f>VLOOKUP(E662,'Types de monstres'!$A$2:$B$17,2,FALSE)</f>
        <v>ABERRATION</v>
      </c>
      <c r="G662" s="297" t="str">
        <f t="shared" si="31"/>
        <v/>
      </c>
      <c r="H662" s="297" t="str">
        <f>IF(OR(G662="",G662="toute race"),"",VLOOKUP(G662,'Types de monstres'!$F$2:$G$49,2,FALSE))</f>
        <v/>
      </c>
      <c r="I662" s="297" t="s">
        <v>4091</v>
      </c>
      <c r="J662" s="302">
        <v>17</v>
      </c>
      <c r="K662" s="302">
        <v>153</v>
      </c>
      <c r="L662" s="297"/>
      <c r="M662" s="297" t="s">
        <v>4118</v>
      </c>
      <c r="N662" s="297" t="str">
        <f>IF(M662="sans alignement","",IF(M662="tout alignement", """1_LB"", ""2_NB"", ""3_CB"", ""4_LN"", ""5_NN"", ""6_CN"", ""7_LM"", ""8_NM"", ""9_CM""",IF(M662="tout alignement non bon", """4_LN"", ""5_NN"", ""6_CN"", ""7_LM"", ""8_NM"", ""9_CM""",IF(M662="tout alignement mauvais", """7_LM"", ""8_NM"", ""9_CM""",IF(M662="tout alignement chaotique", """3_CB"", ""6_CN"", ""9_CM""",IF(M662="tout alignement non loyal", """2_NB"", ""3_CB"", ""5_NN"", ""6_CN"", ""8_NM"", ""9_CM""",""""&amp;VLOOKUP(M662,Alignements!$A$2:$B$10,2, FALSE)&amp;""""))))))</f>
        <v>"8_NM"</v>
      </c>
      <c r="O662" s="297"/>
      <c r="P662" t="str">
        <f t="shared" si="32"/>
        <v>"Rejeton stellaire, prophète": {
  "Name" : "Rejeton stellaire, prophète",
  "VO" : "Star Spawn Seer",
  "Family" : "ABERRATION",
  "Species" : [""],
  "FP" : "13", 
  "Size" : "M",
  "AC" : 17,
  "HP" : 153, 
  "Speed" : "",
  "Alignments" : ["8_NM"],
  "Legendary" : ""}</v>
      </c>
    </row>
    <row r="663" spans="1:16">
      <c r="A663" s="61" t="s">
        <v>5332</v>
      </c>
      <c r="B663" s="298" t="s">
        <v>5333</v>
      </c>
      <c r="C663" s="306">
        <v>11</v>
      </c>
      <c r="D663" s="298" t="s">
        <v>4121</v>
      </c>
      <c r="E663" s="297" t="str">
        <f t="shared" si="30"/>
        <v>Créature monstrueuse</v>
      </c>
      <c r="F663" s="297" t="str">
        <f>VLOOKUP(E663,'Types de monstres'!$A$2:$B$17,2,FALSE)</f>
        <v>MONSTROUS_CREATURE</v>
      </c>
      <c r="G663" s="297" t="str">
        <f t="shared" si="31"/>
        <v/>
      </c>
      <c r="H663" s="297" t="str">
        <f>IF(OR(G663="",G663="toute race"),"",VLOOKUP(G663,'Types de monstres'!$F$2:$G$49,2,FALSE))</f>
        <v/>
      </c>
      <c r="I663" s="298" t="s">
        <v>4149</v>
      </c>
      <c r="J663" s="300">
        <v>17</v>
      </c>
      <c r="K663" s="300">
        <v>195</v>
      </c>
      <c r="L663" s="298"/>
      <c r="M663" s="298" t="s">
        <v>4130</v>
      </c>
      <c r="N663" s="297" t="str">
        <f>IF(M663="sans alignement","",IF(M663="tout alignement", """1_LB"", ""2_NB"", ""3_CB"", ""4_LN"", ""5_NN"", ""6_CN"", ""7_LM"", ""8_NM"", ""9_CM""",IF(M663="tout alignement non bon", """4_LN"", ""5_NN"", ""6_CN"", ""7_LM"", ""8_NM"", ""9_CM""",IF(M663="tout alignement mauvais", """7_LM"", ""8_NM"", ""9_CM""",IF(M663="tout alignement chaotique", """3_CB"", ""6_CN"", ""9_CM""",IF(M663="tout alignement non loyal", """2_NB"", ""3_CB"", ""5_NN"", ""6_CN"", ""8_NM"", ""9_CM""",""""&amp;VLOOKUP(M663,Alignements!$A$2:$B$10,2, FALSE)&amp;""""))))))</f>
        <v/>
      </c>
      <c r="O663" s="298"/>
      <c r="P663" t="str">
        <f t="shared" si="32"/>
        <v>"Rémorhaz": {
  "Name" : "Rémorhaz",
  "VO" : "Remorhaz",
  "Family" : "MONSTROUS_CREATURE",
  "Species" : [""],
  "FP" : "11", 
  "Size" : "TG",
  "AC" : 17,
  "HP" : 195, 
  "Speed" : "",
  "Alignments" : [],
  "Legendary" : ""}</v>
      </c>
    </row>
    <row r="664" spans="1:16">
      <c r="A664" s="61" t="s">
        <v>5334</v>
      </c>
      <c r="B664" s="297" t="s">
        <v>5335</v>
      </c>
      <c r="C664" s="305">
        <v>5</v>
      </c>
      <c r="D664" s="297" t="s">
        <v>4121</v>
      </c>
      <c r="E664" s="297" t="str">
        <f t="shared" si="30"/>
        <v>Créature monstrueuse</v>
      </c>
      <c r="F664" s="297" t="str">
        <f>VLOOKUP(E664,'Types de monstres'!$A$2:$B$17,2,FALSE)</f>
        <v>MONSTROUS_CREATURE</v>
      </c>
      <c r="G664" s="297" t="str">
        <f t="shared" si="31"/>
        <v/>
      </c>
      <c r="H664" s="297" t="str">
        <f>IF(OR(G664="",G664="toute race"),"",VLOOKUP(G664,'Types de monstres'!$F$2:$G$49,2,FALSE))</f>
        <v/>
      </c>
      <c r="I664" s="297" t="s">
        <v>4112</v>
      </c>
      <c r="J664" s="302">
        <v>14</v>
      </c>
      <c r="K664" s="302">
        <v>93</v>
      </c>
      <c r="L664" s="297"/>
      <c r="M664" s="297" t="s">
        <v>4130</v>
      </c>
      <c r="N664" s="297" t="str">
        <f>IF(M664="sans alignement","",IF(M664="tout alignement", """1_LB"", ""2_NB"", ""3_CB"", ""4_LN"", ""5_NN"", ""6_CN"", ""7_LM"", ""8_NM"", ""9_CM""",IF(M664="tout alignement non bon", """4_LN"", ""5_NN"", ""6_CN"", ""7_LM"", ""8_NM"", ""9_CM""",IF(M664="tout alignement mauvais", """7_LM"", ""8_NM"", ""9_CM""",IF(M664="tout alignement chaotique", """3_CB"", ""6_CN"", ""9_CM""",IF(M664="tout alignement non loyal", """2_NB"", ""3_CB"", ""5_NN"", ""6_CN"", ""8_NM"", ""9_CM""",""""&amp;VLOOKUP(M664,Alignements!$A$2:$B$10,2, FALSE)&amp;""""))))))</f>
        <v/>
      </c>
      <c r="O664" s="297"/>
      <c r="P664" t="str">
        <f t="shared" si="32"/>
        <v>"Rémorhaz, jeune": {
  "Name" : "Rémorhaz, jeune",
  "VO" : "Young Remorhaz",
  "Family" : "MONSTROUS_CREATURE",
  "Species" : [""],
  "FP" : "5", 
  "Size" : "G",
  "AC" : 14,
  "HP" : 93, 
  "Speed" : "",
  "Alignments" : [],
  "Legendary" : ""}</v>
      </c>
    </row>
    <row r="665" spans="1:16">
      <c r="A665" s="61" t="s">
        <v>5336</v>
      </c>
      <c r="B665" s="298" t="s">
        <v>5337</v>
      </c>
      <c r="C665" s="306" t="s">
        <v>5620</v>
      </c>
      <c r="D665" s="298" t="s">
        <v>4128</v>
      </c>
      <c r="E665" s="297" t="str">
        <f t="shared" si="30"/>
        <v>Bête</v>
      </c>
      <c r="F665" s="297" t="str">
        <f>VLOOKUP(E665,'Types de monstres'!$A$2:$B$17,2,FALSE)</f>
        <v>BEAST</v>
      </c>
      <c r="G665" s="297" t="str">
        <f t="shared" si="31"/>
        <v/>
      </c>
      <c r="H665" s="297" t="str">
        <f>IF(OR(G665="",G665="toute race"),"",VLOOKUP(G665,'Types de monstres'!$F$2:$G$49,2,FALSE))</f>
        <v/>
      </c>
      <c r="I665" s="298" t="s">
        <v>4091</v>
      </c>
      <c r="J665" s="300">
        <v>12</v>
      </c>
      <c r="K665" s="300">
        <v>22</v>
      </c>
      <c r="L665" s="298" t="s">
        <v>4113</v>
      </c>
      <c r="M665" s="298" t="s">
        <v>4130</v>
      </c>
      <c r="N665" s="297" t="str">
        <f>IF(M665="sans alignement","",IF(M665="tout alignement", """1_LB"", ""2_NB"", ""3_CB"", ""4_LN"", ""5_NN"", ""6_CN"", ""7_LM"", ""8_NM"", ""9_CM""",IF(M665="tout alignement non bon", """4_LN"", ""5_NN"", ""6_CN"", ""7_LM"", ""8_NM"", ""9_CM""",IF(M665="tout alignement mauvais", """7_LM"", ""8_NM"", ""9_CM""",IF(M665="tout alignement chaotique", """3_CB"", ""6_CN"", ""9_CM""",IF(M665="tout alignement non loyal", """2_NB"", ""3_CB"", ""5_NN"", ""6_CN"", ""8_NM"", ""9_CM""",""""&amp;VLOOKUP(M665,Alignements!$A$2:$B$10,2, FALSE)&amp;""""))))))</f>
        <v/>
      </c>
      <c r="O665" s="298"/>
      <c r="P665" t="str">
        <f t="shared" si="32"/>
        <v>"Requin de récif": {
  "Name" : "Requin de récif",
  "VO" : "Reef Shark",
  "Family" : "BEAST",
  "Species" : [""],
  "FP" : "1/2", 
  "Size" : "M",
  "AC" : 12,
  "HP" : 22, 
  "Speed" : "nage",
  "Alignments" : [],
  "Legendary" : ""}</v>
      </c>
    </row>
    <row r="666" spans="1:16">
      <c r="A666" s="61" t="s">
        <v>5338</v>
      </c>
      <c r="B666" s="297" t="s">
        <v>5339</v>
      </c>
      <c r="C666" s="305">
        <v>5</v>
      </c>
      <c r="D666" s="297" t="s">
        <v>4128</v>
      </c>
      <c r="E666" s="297" t="str">
        <f t="shared" si="30"/>
        <v>Bête</v>
      </c>
      <c r="F666" s="297" t="str">
        <f>VLOOKUP(E666,'Types de monstres'!$A$2:$B$17,2,FALSE)</f>
        <v>BEAST</v>
      </c>
      <c r="G666" s="297" t="str">
        <f t="shared" si="31"/>
        <v/>
      </c>
      <c r="H666" s="297" t="str">
        <f>IF(OR(G666="",G666="toute race"),"",VLOOKUP(G666,'Types de monstres'!$F$2:$G$49,2,FALSE))</f>
        <v/>
      </c>
      <c r="I666" s="297" t="s">
        <v>4149</v>
      </c>
      <c r="J666" s="302">
        <v>13</v>
      </c>
      <c r="K666" s="302">
        <v>126</v>
      </c>
      <c r="L666" s="297" t="s">
        <v>4113</v>
      </c>
      <c r="M666" s="297" t="s">
        <v>4130</v>
      </c>
      <c r="N666" s="297" t="str">
        <f>IF(M666="sans alignement","",IF(M666="tout alignement", """1_LB"", ""2_NB"", ""3_CB"", ""4_LN"", ""5_NN"", ""6_CN"", ""7_LM"", ""8_NM"", ""9_CM""",IF(M666="tout alignement non bon", """4_LN"", ""5_NN"", ""6_CN"", ""7_LM"", ""8_NM"", ""9_CM""",IF(M666="tout alignement mauvais", """7_LM"", ""8_NM"", ""9_CM""",IF(M666="tout alignement chaotique", """3_CB"", ""6_CN"", ""9_CM""",IF(M666="tout alignement non loyal", """2_NB"", ""3_CB"", ""5_NN"", ""6_CN"", ""8_NM"", ""9_CM""",""""&amp;VLOOKUP(M666,Alignements!$A$2:$B$10,2, FALSE)&amp;""""))))))</f>
        <v/>
      </c>
      <c r="O666" s="297"/>
      <c r="P666" t="str">
        <f t="shared" si="32"/>
        <v>"Requin géant": {
  "Name" : "Requin géant",
  "VO" : "Giant Shark",
  "Family" : "BEAST",
  "Species" : [""],
  "FP" : "5", 
  "Size" : "TG",
  "AC" : 13,
  "HP" : 126, 
  "Speed" : "nage",
  "Alignments" : [],
  "Legendary" : ""}</v>
      </c>
    </row>
    <row r="667" spans="1:16">
      <c r="A667" s="61" t="s">
        <v>5340</v>
      </c>
      <c r="B667" s="298" t="s">
        <v>5341</v>
      </c>
      <c r="C667" s="306">
        <v>2</v>
      </c>
      <c r="D667" s="298" t="s">
        <v>4128</v>
      </c>
      <c r="E667" s="297" t="str">
        <f t="shared" si="30"/>
        <v>Bête</v>
      </c>
      <c r="F667" s="297" t="str">
        <f>VLOOKUP(E667,'Types de monstres'!$A$2:$B$17,2,FALSE)</f>
        <v>BEAST</v>
      </c>
      <c r="G667" s="297" t="str">
        <f t="shared" si="31"/>
        <v/>
      </c>
      <c r="H667" s="297" t="str">
        <f>IF(OR(G667="",G667="toute race"),"",VLOOKUP(G667,'Types de monstres'!$F$2:$G$49,2,FALSE))</f>
        <v/>
      </c>
      <c r="I667" s="298" t="s">
        <v>4112</v>
      </c>
      <c r="J667" s="300">
        <v>12</v>
      </c>
      <c r="K667" s="300">
        <v>45</v>
      </c>
      <c r="L667" s="298" t="s">
        <v>4113</v>
      </c>
      <c r="M667" s="298" t="s">
        <v>4130</v>
      </c>
      <c r="N667" s="297" t="str">
        <f>IF(M667="sans alignement","",IF(M667="tout alignement", """1_LB"", ""2_NB"", ""3_CB"", ""4_LN"", ""5_NN"", ""6_CN"", ""7_LM"", ""8_NM"", ""9_CM""",IF(M667="tout alignement non bon", """4_LN"", ""5_NN"", ""6_CN"", ""7_LM"", ""8_NM"", ""9_CM""",IF(M667="tout alignement mauvais", """7_LM"", ""8_NM"", ""9_CM""",IF(M667="tout alignement chaotique", """3_CB"", ""6_CN"", ""9_CM""",IF(M667="tout alignement non loyal", """2_NB"", ""3_CB"", ""5_NN"", ""6_CN"", ""8_NM"", ""9_CM""",""""&amp;VLOOKUP(M667,Alignements!$A$2:$B$10,2, FALSE)&amp;""""))))))</f>
        <v/>
      </c>
      <c r="O667" s="298"/>
      <c r="P667" t="str">
        <f t="shared" si="32"/>
        <v>"Requin-chasseur": {
  "Name" : "Requin-chasseur",
  "VO" : "Hunter Shark",
  "Family" : "BEAST",
  "Species" : [""],
  "FP" : "2", 
  "Size" : "G",
  "AC" : 12,
  "HP" : 45, 
  "Speed" : "nage",
  "Alignments" : [],
  "Legendary" : ""}</v>
      </c>
    </row>
    <row r="668" spans="1:16">
      <c r="A668" s="61" t="s">
        <v>5342</v>
      </c>
      <c r="B668" s="297" t="s">
        <v>5343</v>
      </c>
      <c r="C668" s="305" t="s">
        <v>5618</v>
      </c>
      <c r="D668" s="297" t="s">
        <v>4167</v>
      </c>
      <c r="E668" s="297" t="str">
        <f t="shared" si="30"/>
        <v>Plante</v>
      </c>
      <c r="F668" s="297" t="str">
        <f>VLOOKUP(E668,'Types de monstres'!$A$2:$B$17,2,FALSE)</f>
        <v>PLANT</v>
      </c>
      <c r="G668" s="297" t="str">
        <f t="shared" si="31"/>
        <v/>
      </c>
      <c r="H668" s="297" t="str">
        <f>IF(OR(G668="",G668="toute race"),"",VLOOKUP(G668,'Types de monstres'!$F$2:$G$49,2,FALSE))</f>
        <v/>
      </c>
      <c r="I668" s="297" t="s">
        <v>4091</v>
      </c>
      <c r="J668" s="302">
        <v>12</v>
      </c>
      <c r="K668" s="302">
        <v>11</v>
      </c>
      <c r="L668" s="297"/>
      <c r="M668" s="297" t="s">
        <v>4118</v>
      </c>
      <c r="N668" s="297" t="str">
        <f>IF(M668="sans alignement","",IF(M668="tout alignement", """1_LB"", ""2_NB"", ""3_CB"", ""4_LN"", ""5_NN"", ""6_CN"", ""7_LM"", ""8_NM"", ""9_CM""",IF(M668="tout alignement non bon", """4_LN"", ""5_NN"", ""6_CN"", ""7_LM"", ""8_NM"", ""9_CM""",IF(M668="tout alignement mauvais", """7_LM"", ""8_NM"", ""9_CM""",IF(M668="tout alignement chaotique", """3_CB"", ""6_CN"", ""9_CM""",IF(M668="tout alignement non loyal", """2_NB"", ""3_CB"", ""5_NN"", ""6_CN"", ""8_NM"", ""9_CM""",""""&amp;VLOOKUP(M668,Alignements!$A$2:$B$10,2, FALSE)&amp;""""))))))</f>
        <v>"8_NM"</v>
      </c>
      <c r="O668" s="297"/>
      <c r="P668" t="str">
        <f t="shared" si="32"/>
        <v>"Résineux infecté": {
  "Name" : "Résineux infecté",
  "VO" : "Needle Blight",
  "Family" : "PLANT",
  "Species" : [""],
  "FP" : "1/4", 
  "Size" : "M",
  "AC" : 12,
  "HP" : 11, 
  "Speed" : "",
  "Alignments" : ["8_NM"],
  "Legendary" : ""}</v>
      </c>
    </row>
    <row r="669" spans="1:16">
      <c r="A669" s="61" t="s">
        <v>5344</v>
      </c>
      <c r="B669" s="298" t="s">
        <v>5344</v>
      </c>
      <c r="C669" s="306">
        <v>5</v>
      </c>
      <c r="D669" s="298" t="s">
        <v>4117</v>
      </c>
      <c r="E669" s="297" t="str">
        <f t="shared" si="30"/>
        <v>Mort-vivant</v>
      </c>
      <c r="F669" s="297" t="str">
        <f>VLOOKUP(E669,'Types de monstres'!$A$2:$B$17,2,FALSE)</f>
        <v>UNDEAD</v>
      </c>
      <c r="G669" s="297" t="str">
        <f t="shared" si="31"/>
        <v/>
      </c>
      <c r="H669" s="297" t="str">
        <f>IF(OR(G669="",G669="toute race"),"",VLOOKUP(G669,'Types de monstres'!$F$2:$G$49,2,FALSE))</f>
        <v/>
      </c>
      <c r="I669" s="298" t="s">
        <v>4091</v>
      </c>
      <c r="J669" s="300">
        <v>13</v>
      </c>
      <c r="K669" s="300">
        <v>136</v>
      </c>
      <c r="L669" s="298"/>
      <c r="M669" s="298" t="s">
        <v>4193</v>
      </c>
      <c r="N669" s="297" t="str">
        <f>IF(M669="sans alignement","",IF(M669="tout alignement", """1_LB"", ""2_NB"", ""3_CB"", ""4_LN"", ""5_NN"", ""6_CN"", ""7_LM"", ""8_NM"", ""9_CM""",IF(M669="tout alignement non bon", """4_LN"", ""5_NN"", ""6_CN"", ""7_LM"", ""8_NM"", ""9_CM""",IF(M669="tout alignement mauvais", """7_LM"", ""8_NM"", ""9_CM""",IF(M669="tout alignement chaotique", """3_CB"", ""6_CN"", ""9_CM""",IF(M669="tout alignement non loyal", """2_NB"", ""3_CB"", ""5_NN"", ""6_CN"", ""8_NM"", ""9_CM""",""""&amp;VLOOKUP(M669,Alignements!$A$2:$B$10,2, FALSE)&amp;""""))))))</f>
        <v>"5_NN"</v>
      </c>
      <c r="O669" s="298"/>
      <c r="P669" t="str">
        <f t="shared" si="32"/>
        <v>"Revenant": {
  "Name" : "Revenant",
  "VO" : "Revenant",
  "Family" : "UNDEAD",
  "Species" : [""],
  "FP" : "5", 
  "Size" : "M",
  "AC" : 13,
  "HP" : 136, 
  "Speed" : "",
  "Alignments" : ["5_NN"],
  "Legendary" : ""}</v>
      </c>
    </row>
    <row r="670" spans="1:16">
      <c r="A670" s="61" t="s">
        <v>5345</v>
      </c>
      <c r="B670" s="297" t="s">
        <v>5346</v>
      </c>
      <c r="C670" s="305">
        <v>2</v>
      </c>
      <c r="D670" s="297" t="s">
        <v>4128</v>
      </c>
      <c r="E670" s="297" t="str">
        <f t="shared" si="30"/>
        <v>Bête</v>
      </c>
      <c r="F670" s="297" t="str">
        <f>VLOOKUP(E670,'Types de monstres'!$A$2:$B$17,2,FALSE)</f>
        <v>BEAST</v>
      </c>
      <c r="G670" s="297" t="str">
        <f t="shared" si="31"/>
        <v/>
      </c>
      <c r="H670" s="297" t="str">
        <f>IF(OR(G670="",G670="toute race"),"",VLOOKUP(G670,'Types de monstres'!$F$2:$G$49,2,FALSE))</f>
        <v/>
      </c>
      <c r="I670" s="297" t="s">
        <v>4112</v>
      </c>
      <c r="J670" s="302">
        <v>11</v>
      </c>
      <c r="K670" s="302">
        <v>45</v>
      </c>
      <c r="L670" s="297"/>
      <c r="M670" s="297" t="s">
        <v>4130</v>
      </c>
      <c r="N670" s="297" t="str">
        <f>IF(M670="sans alignement","",IF(M670="tout alignement", """1_LB"", ""2_NB"", ""3_CB"", ""4_LN"", ""5_NN"", ""6_CN"", ""7_LM"", ""8_NM"", ""9_CM""",IF(M670="tout alignement non bon", """4_LN"", ""5_NN"", ""6_CN"", ""7_LM"", ""8_NM"", ""9_CM""",IF(M670="tout alignement mauvais", """7_LM"", ""8_NM"", ""9_CM""",IF(M670="tout alignement chaotique", """3_CB"", ""6_CN"", ""9_CM""",IF(M670="tout alignement non loyal", """2_NB"", ""3_CB"", ""5_NN"", ""6_CN"", ""8_NM"", ""9_CM""",""""&amp;VLOOKUP(M670,Alignements!$A$2:$B$10,2, FALSE)&amp;""""))))))</f>
        <v/>
      </c>
      <c r="O670" s="297"/>
      <c r="P670" t="str">
        <f t="shared" si="32"/>
        <v>"Rhinocéros": {
  "Name" : "Rhinocéros",
  "VO" : "Rhinoceros",
  "Family" : "BEAST",
  "Species" : [""],
  "FP" : "2", 
  "Size" : "G",
  "AC" : 11,
  "HP" : 45, 
  "Speed" : "",
  "Alignments" : [],
  "Legendary" : ""}</v>
      </c>
    </row>
    <row r="671" spans="1:16">
      <c r="A671" s="61" t="s">
        <v>5347</v>
      </c>
      <c r="B671" s="298" t="s">
        <v>5347</v>
      </c>
      <c r="C671" s="306">
        <v>11</v>
      </c>
      <c r="D671" s="298" t="s">
        <v>4121</v>
      </c>
      <c r="E671" s="297" t="str">
        <f t="shared" si="30"/>
        <v>Créature monstrueuse</v>
      </c>
      <c r="F671" s="297" t="str">
        <f>VLOOKUP(E671,'Types de monstres'!$A$2:$B$17,2,FALSE)</f>
        <v>MONSTROUS_CREATURE</v>
      </c>
      <c r="G671" s="297" t="str">
        <f t="shared" si="31"/>
        <v/>
      </c>
      <c r="H671" s="297" t="str">
        <f>IF(OR(G671="",G671="toute race"),"",VLOOKUP(G671,'Types de monstres'!$F$2:$G$49,2,FALSE))</f>
        <v/>
      </c>
      <c r="I671" s="298" t="s">
        <v>4371</v>
      </c>
      <c r="J671" s="300">
        <v>15</v>
      </c>
      <c r="K671" s="300">
        <v>248</v>
      </c>
      <c r="L671" s="298" t="s">
        <v>4092</v>
      </c>
      <c r="M671" s="298" t="s">
        <v>4130</v>
      </c>
      <c r="N671" s="297" t="str">
        <f>IF(M671="sans alignement","",IF(M671="tout alignement", """1_LB"", ""2_NB"", ""3_CB"", ""4_LN"", ""5_NN"", ""6_CN"", ""7_LM"", ""8_NM"", ""9_CM""",IF(M671="tout alignement non bon", """4_LN"", ""5_NN"", ""6_CN"", ""7_LM"", ""8_NM"", ""9_CM""",IF(M671="tout alignement mauvais", """7_LM"", ""8_NM"", ""9_CM""",IF(M671="tout alignement chaotique", """3_CB"", ""6_CN"", ""9_CM""",IF(M671="tout alignement non loyal", """2_NB"", ""3_CB"", ""5_NN"", ""6_CN"", ""8_NM"", ""9_CM""",""""&amp;VLOOKUP(M671,Alignements!$A$2:$B$10,2, FALSE)&amp;""""))))))</f>
        <v/>
      </c>
      <c r="O671" s="298"/>
      <c r="P671" t="str">
        <f t="shared" si="32"/>
        <v>"Roc": {
  "Name" : "Roc",
  "VO" : "Roc",
  "Family" : "MONSTROUS_CREATURE",
  "Species" : [""],
  "FP" : "11", 
  "Size" : "Gig",
  "AC" : 15,
  "HP" : 248, 
  "Speed" : "vol",
  "Alignments" : [],
  "Legendary" : ""}</v>
      </c>
    </row>
    <row r="672" spans="1:16">
      <c r="A672" s="61" t="s">
        <v>5731</v>
      </c>
      <c r="B672" s="297" t="s">
        <v>5348</v>
      </c>
      <c r="C672" s="305">
        <v>4</v>
      </c>
      <c r="D672" s="297" t="s">
        <v>4885</v>
      </c>
      <c r="E672" s="297" t="str">
        <f t="shared" si="30"/>
        <v>Humanoïde</v>
      </c>
      <c r="F672" s="297" t="str">
        <f>VLOOKUP(E672,'Types de monstres'!$A$2:$B$17,2,FALSE)</f>
        <v>HUMANOID</v>
      </c>
      <c r="G672" s="297" t="str">
        <f t="shared" si="31"/>
        <v>homme-lézard</v>
      </c>
      <c r="H672" s="297" t="str">
        <f>IF(OR(G672="",G672="toute race"),"",VLOOKUP(G672,'Types de monstres'!$F$2:$G$49,2,FALSE))</f>
        <v>LIZARD_MAN</v>
      </c>
      <c r="I672" s="297" t="s">
        <v>4091</v>
      </c>
      <c r="J672" s="302">
        <v>15</v>
      </c>
      <c r="K672" s="302">
        <v>78</v>
      </c>
      <c r="L672" s="297" t="s">
        <v>4113</v>
      </c>
      <c r="M672" s="297" t="s">
        <v>4137</v>
      </c>
      <c r="N672" s="297" t="str">
        <f>IF(M672="sans alignement","",IF(M672="tout alignement", """1_LB"", ""2_NB"", ""3_CB"", ""4_LN"", ""5_NN"", ""6_CN"", ""7_LM"", ""8_NM"", ""9_CM""",IF(M672="tout alignement non bon", """4_LN"", ""5_NN"", ""6_CN"", ""7_LM"", ""8_NM"", ""9_CM""",IF(M672="tout alignement mauvais", """7_LM"", ""8_NM"", ""9_CM""",IF(M672="tout alignement chaotique", """3_CB"", ""6_CN"", ""9_CM""",IF(M672="tout alignement non loyal", """2_NB"", ""3_CB"", ""5_NN"", ""6_CN"", ""8_NM"", ""9_CM""",""""&amp;VLOOKUP(M672,Alignements!$A$2:$B$10,2, FALSE)&amp;""""))))))</f>
        <v>"9_CM"</v>
      </c>
      <c r="O672" s="297"/>
      <c r="P672" t="str">
        <f t="shared" si="32"/>
        <v>"Roi-reine lézard": {
  "Name" : "Roi-reine lézard",
  "VO" : "Lizard King/Queen",
  "Family" : "HUMANOID",
  "Species" : ["LIZARD_MAN"],
  "FP" : "4", 
  "Size" : "M",
  "AC" : 15,
  "HP" : 78, 
  "Speed" : "nage",
  "Alignments" : ["9_CM"],
  "Legendary" : ""}</v>
      </c>
    </row>
    <row r="673" spans="1:16">
      <c r="A673" s="61" t="s">
        <v>5349</v>
      </c>
      <c r="B673" s="298" t="s">
        <v>5350</v>
      </c>
      <c r="C673" s="306" t="s">
        <v>5620</v>
      </c>
      <c r="D673" s="298" t="s">
        <v>4117</v>
      </c>
      <c r="E673" s="297" t="str">
        <f t="shared" si="30"/>
        <v>Mort-vivant</v>
      </c>
      <c r="F673" s="297" t="str">
        <f>VLOOKUP(E673,'Types de monstres'!$A$2:$B$17,2,FALSE)</f>
        <v>UNDEAD</v>
      </c>
      <c r="G673" s="297" t="str">
        <f t="shared" si="31"/>
        <v/>
      </c>
      <c r="H673" s="297" t="str">
        <f>IF(OR(G673="",G673="toute race"),"",VLOOKUP(G673,'Types de monstres'!$F$2:$G$49,2,FALSE))</f>
        <v/>
      </c>
      <c r="I673" s="298" t="s">
        <v>4112</v>
      </c>
      <c r="J673" s="300">
        <v>8</v>
      </c>
      <c r="K673" s="300">
        <v>22</v>
      </c>
      <c r="L673" s="298"/>
      <c r="M673" s="298" t="s">
        <v>4118</v>
      </c>
      <c r="N673" s="297" t="str">
        <f>IF(M673="sans alignement","",IF(M673="tout alignement", """1_LB"", ""2_NB"", ""3_CB"", ""4_LN"", ""5_NN"", ""6_CN"", ""7_LM"", ""8_NM"", ""9_CM""",IF(M673="tout alignement non bon", """4_LN"", ""5_NN"", ""6_CN"", ""7_LM"", ""8_NM"", ""9_CM""",IF(M673="tout alignement mauvais", """7_LM"", ""8_NM"", ""9_CM""",IF(M673="tout alignement chaotique", """3_CB"", ""6_CN"", ""9_CM""",IF(M673="tout alignement non loyal", """2_NB"", ""3_CB"", ""5_NN"", ""6_CN"", ""8_NM"", ""9_CM""",""""&amp;VLOOKUP(M673,Alignements!$A$2:$B$10,2, FALSE)&amp;""""))))))</f>
        <v>"8_NM"</v>
      </c>
      <c r="O673" s="298"/>
      <c r="P673" t="str">
        <f t="shared" si="32"/>
        <v>"Rothé zombi": {
  "Name" : "Rothé zombi",
  "VO" : "Rothé Zombie",
  "Family" : "UNDEAD",
  "Species" : [""],
  "FP" : "1/2", 
  "Size" : "G",
  "AC" : 8,
  "HP" : 22, 
  "Speed" : "",
  "Alignments" : ["8_NM"],
  "Legendary" : ""}</v>
      </c>
    </row>
    <row r="674" spans="1:16">
      <c r="A674" s="61" t="s">
        <v>5351</v>
      </c>
      <c r="B674" s="297" t="s">
        <v>5352</v>
      </c>
      <c r="C674" s="305">
        <v>0</v>
      </c>
      <c r="D674" s="297" t="s">
        <v>4108</v>
      </c>
      <c r="E674" s="297" t="str">
        <f t="shared" si="30"/>
        <v>Humanoïde</v>
      </c>
      <c r="F674" s="297" t="str">
        <f>VLOOKUP(E674,'Types de monstres'!$A$2:$B$17,2,FALSE)</f>
        <v>HUMANOID</v>
      </c>
      <c r="G674" s="297" t="str">
        <f t="shared" si="31"/>
        <v>toute race</v>
      </c>
      <c r="H674" s="297" t="str">
        <f>IF(OR(G674="",G674="toute race"),"",VLOOKUP(G674,'Types de monstres'!$F$2:$G$49,2,FALSE))</f>
        <v/>
      </c>
      <c r="I674" s="297" t="s">
        <v>4091</v>
      </c>
      <c r="J674" s="302">
        <v>10</v>
      </c>
      <c r="K674" s="302">
        <v>4</v>
      </c>
      <c r="L674" s="297"/>
      <c r="M674" s="297" t="s">
        <v>4109</v>
      </c>
      <c r="N674" s="297" t="str">
        <f>IF(M674="sans alignement","",IF(M674="tout alignement", """1_LB"", ""2_NB"", ""3_CB"", ""4_LN"", ""5_NN"", ""6_CN"", ""7_LM"", ""8_NM"", ""9_CM""",IF(M674="tout alignement non bon", """4_LN"", ""5_NN"", ""6_CN"", ""7_LM"", ""8_NM"", ""9_CM""",IF(M674="tout alignement mauvais", """7_LM"", ""8_NM"", ""9_CM""",IF(M674="tout alignement chaotique", """3_CB"", ""6_CN"", ""9_CM""",IF(M674="tout alignement non loyal", """2_NB"", ""3_CB"", ""5_NN"", ""6_CN"", ""8_NM"", ""9_CM""",""""&amp;VLOOKUP(M674,Alignements!$A$2:$B$10,2, FALSE)&amp;""""))))))</f>
        <v>"1_LB", "2_NB", "3_CB", "4_LN", "5_NN", "6_CN", "7_LM", "8_NM", "9_CM"</v>
      </c>
      <c r="O674" s="297"/>
      <c r="P674" t="str">
        <f t="shared" si="32"/>
        <v>"Roturier": {
  "Name" : "Roturier",
  "VO" : "Commoner",
  "Family" : "HUMANOID",
  "Species" : [""],
  "FP" : "0", 
  "Size" : "M",
  "AC" : 10,
  "HP" : 4, 
  "Speed" : "",
  "Alignments" : ["1_LB", "2_NB", "3_CB", "4_LN", "5_NN", "6_CN", "7_LM", "8_NM", "9_CM"],
  "Legendary" : ""}</v>
      </c>
    </row>
    <row r="675" spans="1:16">
      <c r="A675" s="61" t="s">
        <v>5353</v>
      </c>
      <c r="B675" s="298" t="s">
        <v>5353</v>
      </c>
      <c r="C675" s="306">
        <v>2</v>
      </c>
      <c r="D675" s="298" t="s">
        <v>4242</v>
      </c>
      <c r="E675" s="297" t="str">
        <f t="shared" si="30"/>
        <v>Humanoïde</v>
      </c>
      <c r="F675" s="297" t="str">
        <f>VLOOKUP(E675,'Types de monstres'!$A$2:$B$17,2,FALSE)</f>
        <v>HUMANOID</v>
      </c>
      <c r="G675" s="297" t="str">
        <f t="shared" si="31"/>
        <v>humain</v>
      </c>
      <c r="H675" s="297" t="str">
        <f>IF(OR(G675="",G675="toute race"),"",VLOOKUP(G675,'Types de monstres'!$F$2:$G$49,2,FALSE))</f>
        <v>HUMAN</v>
      </c>
      <c r="I675" s="298" t="s">
        <v>4091</v>
      </c>
      <c r="J675" s="300">
        <v>13</v>
      </c>
      <c r="K675" s="300">
        <v>33</v>
      </c>
      <c r="L675" s="298"/>
      <c r="M675" s="298" t="s">
        <v>4118</v>
      </c>
      <c r="N675" s="297" t="str">
        <f>IF(M675="sans alignement","",IF(M675="tout alignement", """1_LB"", ""2_NB"", ""3_CB"", ""4_LN"", ""5_NN"", ""6_CN"", ""7_LM"", ""8_NM"", ""9_CM""",IF(M675="tout alignement non bon", """4_LN"", ""5_NN"", ""6_CN"", ""7_LM"", ""8_NM"", ""9_CM""",IF(M675="tout alignement mauvais", """7_LM"", ""8_NM"", ""9_CM""",IF(M675="tout alignement chaotique", """3_CB"", ""6_CN"", ""9_CM""",IF(M675="tout alignement non loyal", """2_NB"", ""3_CB"", ""5_NN"", ""6_CN"", ""8_NM"", ""9_CM""",""""&amp;VLOOKUP(M675,Alignements!$A$2:$B$10,2, FALSE)&amp;""""))))))</f>
        <v>"8_NM"</v>
      </c>
      <c r="O675" s="298"/>
      <c r="P675" t="str">
        <f t="shared" si="32"/>
        <v>"Rotz": {
  "Name" : "Rotz",
  "VO" : "Rotz",
  "Family" : "HUMANOID",
  "Species" : ["HUMAN"],
  "FP" : "2", 
  "Size" : "M",
  "AC" : 13,
  "HP" : 33, 
  "Speed" : "",
  "Alignments" : ["8_NM"],
  "Legendary" : ""}</v>
      </c>
    </row>
    <row r="676" spans="1:16">
      <c r="A676" s="301" t="s">
        <v>5354</v>
      </c>
      <c r="B676" s="297" t="s">
        <v>5354</v>
      </c>
      <c r="C676" s="305">
        <v>2</v>
      </c>
      <c r="D676" s="297" t="s">
        <v>4136</v>
      </c>
      <c r="E676" s="297" t="str">
        <f t="shared" si="30"/>
        <v>Fiélon</v>
      </c>
      <c r="F676" s="297" t="str">
        <f>VLOOKUP(E676,'Types de monstres'!$A$2:$B$17,2,FALSE)</f>
        <v>FIEND</v>
      </c>
      <c r="G676" s="297" t="str">
        <f t="shared" si="31"/>
        <v>démon</v>
      </c>
      <c r="H676" s="297" t="str">
        <f>IF(OR(G676="",G676="toute race"),"",VLOOKUP(G676,'Types de monstres'!$F$2:$G$49,2,FALSE))</f>
        <v>DAEMON</v>
      </c>
      <c r="I676" s="297" t="s">
        <v>4091</v>
      </c>
      <c r="J676" s="302">
        <v>12</v>
      </c>
      <c r="K676" s="302">
        <v>37</v>
      </c>
      <c r="L676" s="297"/>
      <c r="M676" s="297" t="s">
        <v>4137</v>
      </c>
      <c r="N676" s="297" t="str">
        <f>IF(M676="sans alignement","",IF(M676="tout alignement", """1_LB"", ""2_NB"", ""3_CB"", ""4_LN"", ""5_NN"", ""6_CN"", ""7_LM"", ""8_NM"", ""9_CM""",IF(M676="tout alignement non bon", """4_LN"", ""5_NN"", ""6_CN"", ""7_LM"", ""8_NM"", ""9_CM""",IF(M676="tout alignement mauvais", """7_LM"", ""8_NM"", ""9_CM""",IF(M676="tout alignement chaotique", """3_CB"", ""6_CN"", ""9_CM""",IF(M676="tout alignement non loyal", """2_NB"", ""3_CB"", ""5_NN"", ""6_CN"", ""8_NM"", ""9_CM""",""""&amp;VLOOKUP(M676,Alignements!$A$2:$B$10,2, FALSE)&amp;""""))))))</f>
        <v>"9_CM"</v>
      </c>
      <c r="O676" s="297"/>
      <c r="P676" t="str">
        <f t="shared" si="32"/>
        <v>"Rutterkin": {
  "Name" : "Rutterkin",
  "VO" : "Rutterkin",
  "Family" : "FIEND",
  "Species" : ["DAEMON"],
  "FP" : "2", 
  "Size" : "M",
  "AC" : 12,
  "HP" : 37, 
  "Speed" : "",
  "Alignments" : ["9_CM"],
  "Legendary" : ""}</v>
      </c>
    </row>
    <row r="677" spans="1:16">
      <c r="A677" s="61" t="s">
        <v>5355</v>
      </c>
      <c r="B677" s="298" t="s">
        <v>5355</v>
      </c>
      <c r="C677" s="306" t="s">
        <v>5620</v>
      </c>
      <c r="D677" s="298" t="s">
        <v>5356</v>
      </c>
      <c r="E677" s="297" t="str">
        <f t="shared" si="30"/>
        <v>Humanoïde</v>
      </c>
      <c r="F677" s="297" t="str">
        <f>VLOOKUP(E677,'Types de monstres'!$A$2:$B$17,2,FALSE)</f>
        <v>HUMANOID</v>
      </c>
      <c r="G677" s="297" t="str">
        <f t="shared" si="31"/>
        <v>sahuagin</v>
      </c>
      <c r="H677" s="297" t="str">
        <f>IF(OR(G677="",G677="toute race"),"",VLOOKUP(G677,'Types de monstres'!$F$2:$G$49,2,FALSE))</f>
        <v>SAHUAGIN</v>
      </c>
      <c r="I677" s="298" t="s">
        <v>4091</v>
      </c>
      <c r="J677" s="300">
        <v>12</v>
      </c>
      <c r="K677" s="300">
        <v>22</v>
      </c>
      <c r="L677" s="298" t="s">
        <v>4113</v>
      </c>
      <c r="M677" s="298" t="s">
        <v>4097</v>
      </c>
      <c r="N677" s="297" t="str">
        <f>IF(M677="sans alignement","",IF(M677="tout alignement", """1_LB"", ""2_NB"", ""3_CB"", ""4_LN"", ""5_NN"", ""6_CN"", ""7_LM"", ""8_NM"", ""9_CM""",IF(M677="tout alignement non bon", """4_LN"", ""5_NN"", ""6_CN"", ""7_LM"", ""8_NM"", ""9_CM""",IF(M677="tout alignement mauvais", """7_LM"", ""8_NM"", ""9_CM""",IF(M677="tout alignement chaotique", """3_CB"", ""6_CN"", ""9_CM""",IF(M677="tout alignement non loyal", """2_NB"", ""3_CB"", ""5_NN"", ""6_CN"", ""8_NM"", ""9_CM""",""""&amp;VLOOKUP(M677,Alignements!$A$2:$B$10,2, FALSE)&amp;""""))))))</f>
        <v>"7_LM"</v>
      </c>
      <c r="O677" s="298"/>
      <c r="P677" t="str">
        <f t="shared" si="32"/>
        <v>"Sahuagin": {
  "Name" : "Sahuagin",
  "VO" : "Sahuagin",
  "Family" : "HUMANOID",
  "Species" : ["SAHUAGIN"],
  "FP" : "1/2", 
  "Size" : "M",
  "AC" : 12,
  "HP" : 22, 
  "Speed" : "nage",
  "Alignments" : ["7_LM"],
  "Legendary" : ""}</v>
      </c>
    </row>
    <row r="678" spans="1:16">
      <c r="A678" s="61" t="s">
        <v>5357</v>
      </c>
      <c r="B678" s="297" t="s">
        <v>5358</v>
      </c>
      <c r="C678" s="305">
        <v>5</v>
      </c>
      <c r="D678" s="297" t="s">
        <v>5356</v>
      </c>
      <c r="E678" s="297" t="str">
        <f t="shared" si="30"/>
        <v>Humanoïde</v>
      </c>
      <c r="F678" s="297" t="str">
        <f>VLOOKUP(E678,'Types de monstres'!$A$2:$B$17,2,FALSE)</f>
        <v>HUMANOID</v>
      </c>
      <c r="G678" s="297" t="str">
        <f t="shared" si="31"/>
        <v>sahuagin</v>
      </c>
      <c r="H678" s="297" t="str">
        <f>IF(OR(G678="",G678="toute race"),"",VLOOKUP(G678,'Types de monstres'!$F$2:$G$49,2,FALSE))</f>
        <v>SAHUAGIN</v>
      </c>
      <c r="I678" s="297" t="s">
        <v>4112</v>
      </c>
      <c r="J678" s="302">
        <v>16</v>
      </c>
      <c r="K678" s="302">
        <v>76</v>
      </c>
      <c r="L678" s="297" t="s">
        <v>4113</v>
      </c>
      <c r="M678" s="297" t="s">
        <v>4097</v>
      </c>
      <c r="N678" s="297" t="str">
        <f>IF(M678="sans alignement","",IF(M678="tout alignement", """1_LB"", ""2_NB"", ""3_CB"", ""4_LN"", ""5_NN"", ""6_CN"", ""7_LM"", ""8_NM"", ""9_CM""",IF(M678="tout alignement non bon", """4_LN"", ""5_NN"", ""6_CN"", ""7_LM"", ""8_NM"", ""9_CM""",IF(M678="tout alignement mauvais", """7_LM"", ""8_NM"", ""9_CM""",IF(M678="tout alignement chaotique", """3_CB"", ""6_CN"", ""9_CM""",IF(M678="tout alignement non loyal", """2_NB"", ""3_CB"", ""5_NN"", ""6_CN"", ""8_NM"", ""9_CM""",""""&amp;VLOOKUP(M678,Alignements!$A$2:$B$10,2, FALSE)&amp;""""))))))</f>
        <v>"7_LM"</v>
      </c>
      <c r="O678" s="297"/>
      <c r="P678" t="str">
        <f t="shared" si="32"/>
        <v>"Sahuagin, baron": {
  "Name" : "Sahuagin, baron",
  "VO" : "Sahuagin Baron",
  "Family" : "HUMANOID",
  "Species" : ["SAHUAGIN"],
  "FP" : "5", 
  "Size" : "G",
  "AC" : 16,
  "HP" : 76, 
  "Speed" : "nage",
  "Alignments" : ["7_LM"],
  "Legendary" : ""}</v>
      </c>
    </row>
    <row r="679" spans="1:16">
      <c r="A679" s="61" t="s">
        <v>5359</v>
      </c>
      <c r="B679" s="298" t="s">
        <v>5360</v>
      </c>
      <c r="C679" s="306">
        <v>2</v>
      </c>
      <c r="D679" s="298" t="s">
        <v>5356</v>
      </c>
      <c r="E679" s="297" t="str">
        <f t="shared" si="30"/>
        <v>Humanoïde</v>
      </c>
      <c r="F679" s="297" t="str">
        <f>VLOOKUP(E679,'Types de monstres'!$A$2:$B$17,2,FALSE)</f>
        <v>HUMANOID</v>
      </c>
      <c r="G679" s="297" t="str">
        <f t="shared" si="31"/>
        <v>sahuagin</v>
      </c>
      <c r="H679" s="297" t="str">
        <f>IF(OR(G679="",G679="toute race"),"",VLOOKUP(G679,'Types de monstres'!$F$2:$G$49,2,FALSE))</f>
        <v>SAHUAGIN</v>
      </c>
      <c r="I679" s="298" t="s">
        <v>4091</v>
      </c>
      <c r="J679" s="300">
        <v>12</v>
      </c>
      <c r="K679" s="300">
        <v>33</v>
      </c>
      <c r="L679" s="298" t="s">
        <v>4113</v>
      </c>
      <c r="M679" s="298" t="s">
        <v>4097</v>
      </c>
      <c r="N679" s="297" t="str">
        <f>IF(M679="sans alignement","",IF(M679="tout alignement", """1_LB"", ""2_NB"", ""3_CB"", ""4_LN"", ""5_NN"", ""6_CN"", ""7_LM"", ""8_NM"", ""9_CM""",IF(M679="tout alignement non bon", """4_LN"", ""5_NN"", ""6_CN"", ""7_LM"", ""8_NM"", ""9_CM""",IF(M679="tout alignement mauvais", """7_LM"", ""8_NM"", ""9_CM""",IF(M679="tout alignement chaotique", """3_CB"", ""6_CN"", ""9_CM""",IF(M679="tout alignement non loyal", """2_NB"", ""3_CB"", ""5_NN"", ""6_CN"", ""8_NM"", ""9_CM""",""""&amp;VLOOKUP(M679,Alignements!$A$2:$B$10,2, FALSE)&amp;""""))))))</f>
        <v>"7_LM"</v>
      </c>
      <c r="O679" s="298"/>
      <c r="P679" t="str">
        <f t="shared" si="32"/>
        <v>"Sahuagin, prêtresse": {
  "Name" : "Sahuagin, prêtresse",
  "VO" : "Sahuagin Priestess",
  "Family" : "HUMANOID",
  "Species" : ["SAHUAGIN"],
  "FP" : "2", 
  "Size" : "M",
  "AC" : 12,
  "HP" : 33, 
  "Speed" : "nage",
  "Alignments" : ["7_LM"],
  "Legendary" : ""}</v>
      </c>
    </row>
    <row r="680" spans="1:16" ht="21">
      <c r="A680" s="301" t="s">
        <v>5361</v>
      </c>
      <c r="B680" s="297" t="s">
        <v>5362</v>
      </c>
      <c r="C680" s="305">
        <v>3</v>
      </c>
      <c r="D680" s="297" t="s">
        <v>5356</v>
      </c>
      <c r="E680" s="297" t="str">
        <f t="shared" si="30"/>
        <v>Humanoïde</v>
      </c>
      <c r="F680" s="297" t="str">
        <f>VLOOKUP(E680,'Types de monstres'!$A$2:$B$17,2,FALSE)</f>
        <v>HUMANOID</v>
      </c>
      <c r="G680" s="297" t="str">
        <f t="shared" si="31"/>
        <v>sahuagin</v>
      </c>
      <c r="H680" s="297" t="str">
        <f>IF(OR(G680="",G680="toute race"),"",VLOOKUP(G680,'Types de monstres'!$F$2:$G$49,2,FALSE))</f>
        <v>SAHUAGIN</v>
      </c>
      <c r="I680" s="297" t="s">
        <v>4091</v>
      </c>
      <c r="J680" s="302">
        <v>14</v>
      </c>
      <c r="K680" s="302">
        <v>22</v>
      </c>
      <c r="L680" s="297" t="s">
        <v>4113</v>
      </c>
      <c r="M680" s="297" t="s">
        <v>4118</v>
      </c>
      <c r="N680" s="297" t="str">
        <f>IF(M680="sans alignement","",IF(M680="tout alignement", """1_LB"", ""2_NB"", ""3_CB"", ""4_LN"", ""5_NN"", ""6_CN"", ""7_LM"", ""8_NM"", ""9_CM""",IF(M680="tout alignement non bon", """4_LN"", ""5_NN"", ""6_CN"", ""7_LM"", ""8_NM"", ""9_CM""",IF(M680="tout alignement mauvais", """7_LM"", ""8_NM"", ""9_CM""",IF(M680="tout alignement chaotique", """3_CB"", ""6_CN"", ""9_CM""",IF(M680="tout alignement non loyal", """2_NB"", ""3_CB"", ""5_NN"", ""6_CN"", ""8_NM"", ""9_CM""",""""&amp;VLOOKUP(M680,Alignements!$A$2:$B$10,2, FALSE)&amp;""""))))))</f>
        <v>"8_NM"</v>
      </c>
      <c r="O680" s="297"/>
      <c r="P680" t="str">
        <f t="shared" si="32"/>
        <v>"Sahuagin, sorcier d'Uk'otoa": {
  "Name" : "Sahuagin, sorcier d'Uk'otoa",
  "VO" : "Sahuagin, warlock of Uk'otoa",
  "Family" : "HUMANOID",
  "Species" : ["SAHUAGIN"],
  "FP" : "3", 
  "Size" : "M",
  "AC" : 14,
  "HP" : 22, 
  "Speed" : "nage",
  "Alignments" : ["8_NM"],
  "Legendary" : ""}</v>
      </c>
    </row>
    <row r="681" spans="1:16">
      <c r="A681" s="61" t="s">
        <v>5363</v>
      </c>
      <c r="B681" s="298" t="s">
        <v>5364</v>
      </c>
      <c r="C681" s="306">
        <v>5</v>
      </c>
      <c r="D681" s="298" t="s">
        <v>4189</v>
      </c>
      <c r="E681" s="297" t="str">
        <f t="shared" si="30"/>
        <v>Élémentaire</v>
      </c>
      <c r="F681" s="297" t="str">
        <f>VLOOKUP(E681,'Types de monstres'!$A$2:$B$17,2,FALSE)</f>
        <v>ELEMENTARY</v>
      </c>
      <c r="G681" s="297" t="str">
        <f t="shared" si="31"/>
        <v/>
      </c>
      <c r="H681" s="297" t="str">
        <f>IF(OR(G681="",G681="toute race"),"",VLOOKUP(G681,'Types de monstres'!$F$2:$G$49,2,FALSE))</f>
        <v/>
      </c>
      <c r="I681" s="298" t="s">
        <v>4112</v>
      </c>
      <c r="J681" s="300">
        <v>15</v>
      </c>
      <c r="K681" s="300">
        <v>90</v>
      </c>
      <c r="L681" s="298"/>
      <c r="M681" s="298" t="s">
        <v>4118</v>
      </c>
      <c r="N681" s="297" t="str">
        <f>IF(M681="sans alignement","",IF(M681="tout alignement", """1_LB"", ""2_NB"", ""3_CB"", ""4_LN"", ""5_NN"", ""6_CN"", ""7_LM"", ""8_NM"", ""9_CM""",IF(M681="tout alignement non bon", """4_LN"", ""5_NN"", ""6_CN"", ""7_LM"", ""8_NM"", ""9_CM""",IF(M681="tout alignement mauvais", """7_LM"", ""8_NM"", ""9_CM""",IF(M681="tout alignement chaotique", """3_CB"", ""6_CN"", ""9_CM""",IF(M681="tout alignement non loyal", """2_NB"", ""3_CB"", ""5_NN"", ""6_CN"", ""8_NM"", ""9_CM""",""""&amp;VLOOKUP(M681,Alignements!$A$2:$B$10,2, FALSE)&amp;""""))))))</f>
        <v>"8_NM"</v>
      </c>
      <c r="O681" s="298"/>
      <c r="P681" t="str">
        <f t="shared" si="32"/>
        <v>"Salamandre": {
  "Name" : "Salamandre",
  "VO" : "Salamander",
  "Family" : "ELEMENTARY",
  "Species" : [""],
  "FP" : "5", 
  "Size" : "G",
  "AC" : 15,
  "HP" : 90, 
  "Speed" : "",
  "Alignments" : ["8_NM"],
  "Legendary" : ""}</v>
      </c>
    </row>
    <row r="682" spans="1:16" ht="21">
      <c r="A682" s="301" t="s">
        <v>5365</v>
      </c>
      <c r="B682" s="297" t="s">
        <v>5366</v>
      </c>
      <c r="C682" s="305">
        <v>9</v>
      </c>
      <c r="D682" s="297" t="s">
        <v>4189</v>
      </c>
      <c r="E682" s="297" t="str">
        <f t="shared" si="30"/>
        <v>Élémentaire</v>
      </c>
      <c r="F682" s="297" t="str">
        <f>VLOOKUP(E682,'Types de monstres'!$A$2:$B$17,2,FALSE)</f>
        <v>ELEMENTARY</v>
      </c>
      <c r="G682" s="297" t="str">
        <f t="shared" si="31"/>
        <v/>
      </c>
      <c r="H682" s="297" t="str">
        <f>IF(OR(G682="",G682="toute race"),"",VLOOKUP(G682,'Types de monstres'!$F$2:$G$49,2,FALSE))</f>
        <v/>
      </c>
      <c r="I682" s="297" t="s">
        <v>4149</v>
      </c>
      <c r="J682" s="302">
        <v>17</v>
      </c>
      <c r="K682" s="302">
        <v>168</v>
      </c>
      <c r="L682" s="297"/>
      <c r="M682" s="297" t="s">
        <v>4130</v>
      </c>
      <c r="N682" s="297" t="str">
        <f>IF(M682="sans alignement","",IF(M682="tout alignement", """1_LB"", ""2_NB"", ""3_CB"", ""4_LN"", ""5_NN"", ""6_CN"", ""7_LM"", ""8_NM"", ""9_CM""",IF(M682="tout alignement non bon", """4_LN"", ""5_NN"", ""6_CN"", ""7_LM"", ""8_NM"", ""9_CM""",IF(M682="tout alignement mauvais", """7_LM"", ""8_NM"", ""9_CM""",IF(M682="tout alignement chaotique", """3_CB"", ""6_CN"", ""9_CM""",IF(M682="tout alignement non loyal", """2_NB"", ""3_CB"", ""5_NN"", ""6_CN"", ""8_NM"", ""9_CM""",""""&amp;VLOOKUP(M682,Alignements!$A$2:$B$10,2, FALSE)&amp;""""))))))</f>
        <v/>
      </c>
      <c r="O682" s="297"/>
      <c r="P682" t="str">
        <f t="shared" si="32"/>
        <v>"Salamandre du givre": {
  "Name" : "Salamandre du givre",
  "VO" : "Frost Salamander",
  "Family" : "ELEMENTARY",
  "Species" : [""],
  "FP" : "9", 
  "Size" : "TG",
  "AC" : 17,
  "HP" : 168, 
  "Speed" : "",
  "Alignments" : [],
  "Legendary" : ""}</v>
      </c>
    </row>
    <row r="683" spans="1:16">
      <c r="A683" s="61" t="s">
        <v>5367</v>
      </c>
      <c r="B683" s="298" t="s">
        <v>5368</v>
      </c>
      <c r="C683" s="306" t="s">
        <v>5618</v>
      </c>
      <c r="D683" s="298" t="s">
        <v>4128</v>
      </c>
      <c r="E683" s="297" t="str">
        <f t="shared" si="30"/>
        <v>Bête</v>
      </c>
      <c r="F683" s="297" t="str">
        <f>VLOOKUP(E683,'Types de monstres'!$A$2:$B$17,2,FALSE)</f>
        <v>BEAST</v>
      </c>
      <c r="G683" s="297" t="str">
        <f t="shared" si="31"/>
        <v/>
      </c>
      <c r="H683" s="297" t="str">
        <f>IF(OR(G683="",G683="toute race"),"",VLOOKUP(G683,'Types de monstres'!$F$2:$G$49,2,FALSE))</f>
        <v/>
      </c>
      <c r="I683" s="298" t="s">
        <v>4091</v>
      </c>
      <c r="J683" s="300">
        <v>11</v>
      </c>
      <c r="K683" s="300">
        <v>11</v>
      </c>
      <c r="L683" s="298"/>
      <c r="M683" s="298" t="s">
        <v>4130</v>
      </c>
      <c r="N683" s="297" t="str">
        <f>IF(M683="sans alignement","",IF(M683="tout alignement", """1_LB"", ""2_NB"", ""3_CB"", ""4_LN"", ""5_NN"", ""6_CN"", ""7_LM"", ""8_NM"", ""9_CM""",IF(M683="tout alignement non bon", """4_LN"", ""5_NN"", ""6_CN"", ""7_LM"", ""8_NM"", ""9_CM""",IF(M683="tout alignement mauvais", """7_LM"", ""8_NM"", ""9_CM""",IF(M683="tout alignement chaotique", """3_CB"", ""6_CN"", ""9_CM""",IF(M683="tout alignement non loyal", """2_NB"", ""3_CB"", ""5_NN"", ""6_CN"", ""8_NM"", ""9_CM""",""""&amp;VLOOKUP(M683,Alignements!$A$2:$B$10,2, FALSE)&amp;""""))))))</f>
        <v/>
      </c>
      <c r="O683" s="298"/>
      <c r="P683" t="str">
        <f t="shared" si="32"/>
        <v>"Sanglier": {
  "Name" : "Sanglier",
  "VO" : "Boar",
  "Family" : "BEAST",
  "Species" : [""],
  "FP" : "1/4", 
  "Size" : "M",
  "AC" : 11,
  "HP" : 11, 
  "Speed" : "",
  "Alignments" : [],
  "Legendary" : ""}</v>
      </c>
    </row>
    <row r="684" spans="1:16">
      <c r="A684" s="61" t="s">
        <v>5369</v>
      </c>
      <c r="B684" s="297" t="s">
        <v>5370</v>
      </c>
      <c r="C684" s="305">
        <v>2</v>
      </c>
      <c r="D684" s="297" t="s">
        <v>4128</v>
      </c>
      <c r="E684" s="297" t="str">
        <f t="shared" si="30"/>
        <v>Bête</v>
      </c>
      <c r="F684" s="297" t="str">
        <f>VLOOKUP(E684,'Types de monstres'!$A$2:$B$17,2,FALSE)</f>
        <v>BEAST</v>
      </c>
      <c r="G684" s="297" t="str">
        <f t="shared" si="31"/>
        <v/>
      </c>
      <c r="H684" s="297" t="str">
        <f>IF(OR(G684="",G684="toute race"),"",VLOOKUP(G684,'Types de monstres'!$F$2:$G$49,2,FALSE))</f>
        <v/>
      </c>
      <c r="I684" s="297" t="s">
        <v>4112</v>
      </c>
      <c r="J684" s="302">
        <v>12</v>
      </c>
      <c r="K684" s="302">
        <v>42</v>
      </c>
      <c r="L684" s="297"/>
      <c r="M684" s="297" t="s">
        <v>4130</v>
      </c>
      <c r="N684" s="297" t="str">
        <f>IF(M684="sans alignement","",IF(M684="tout alignement", """1_LB"", ""2_NB"", ""3_CB"", ""4_LN"", ""5_NN"", ""6_CN"", ""7_LM"", ""8_NM"", ""9_CM""",IF(M684="tout alignement non bon", """4_LN"", ""5_NN"", ""6_CN"", ""7_LM"", ""8_NM"", ""9_CM""",IF(M684="tout alignement mauvais", """7_LM"", ""8_NM"", ""9_CM""",IF(M684="tout alignement chaotique", """3_CB"", ""6_CN"", ""9_CM""",IF(M684="tout alignement non loyal", """2_NB"", ""3_CB"", ""5_NN"", ""6_CN"", ""8_NM"", ""9_CM""",""""&amp;VLOOKUP(M684,Alignements!$A$2:$B$10,2, FALSE)&amp;""""))))))</f>
        <v/>
      </c>
      <c r="O684" s="297"/>
      <c r="P684" t="str">
        <f t="shared" si="32"/>
        <v>"Sanglier géant": {
  "Name" : "Sanglier géant",
  "VO" : "Giant Boar",
  "Family" : "BEAST",
  "Species" : [""],
  "FP" : "2", 
  "Size" : "G",
  "AC" : 12,
  "HP" : 42, 
  "Speed" : "",
  "Alignments" : [],
  "Legendary" : ""}</v>
      </c>
    </row>
    <row r="685" spans="1:16" ht="21">
      <c r="A685" s="61" t="s">
        <v>5371</v>
      </c>
      <c r="B685" s="298" t="s">
        <v>5372</v>
      </c>
      <c r="C685" s="306">
        <v>4</v>
      </c>
      <c r="D685" s="298" t="s">
        <v>4351</v>
      </c>
      <c r="E685" s="297" t="str">
        <f t="shared" si="30"/>
        <v>Humanoïde</v>
      </c>
      <c r="F685" s="297" t="str">
        <f>VLOOKUP(E685,'Types de monstres'!$A$2:$B$17,2,FALSE)</f>
        <v>HUMANOID</v>
      </c>
      <c r="G685" s="297" t="str">
        <f t="shared" si="31"/>
        <v>humain, métamorphe</v>
      </c>
      <c r="H685" s="297" t="s">
        <v>5721</v>
      </c>
      <c r="I685" s="298" t="s">
        <v>4091</v>
      </c>
      <c r="J685" s="300">
        <v>10</v>
      </c>
      <c r="K685" s="300">
        <v>78</v>
      </c>
      <c r="L685" s="298"/>
      <c r="M685" s="298" t="s">
        <v>4118</v>
      </c>
      <c r="N685" s="297" t="str">
        <f>IF(M685="sans alignement","",IF(M685="tout alignement", """1_LB"", ""2_NB"", ""3_CB"", ""4_LN"", ""5_NN"", ""6_CN"", ""7_LM"", ""8_NM"", ""9_CM""",IF(M685="tout alignement non bon", """4_LN"", ""5_NN"", ""6_CN"", ""7_LM"", ""8_NM"", ""9_CM""",IF(M685="tout alignement mauvais", """7_LM"", ""8_NM"", ""9_CM""",IF(M685="tout alignement chaotique", """3_CB"", ""6_CN"", ""9_CM""",IF(M685="tout alignement non loyal", """2_NB"", ""3_CB"", ""5_NN"", ""6_CN"", ""8_NM"", ""9_CM""",""""&amp;VLOOKUP(M685,Alignements!$A$2:$B$10,2, FALSE)&amp;""""))))))</f>
        <v>"8_NM"</v>
      </c>
      <c r="O685" s="298"/>
      <c r="P685" t="str">
        <f t="shared" si="32"/>
        <v>"Sanglier-garou": {
  "Name" : "Sanglier-garou",
  "VO" : "Wereboar",
  "Family" : "HUMANOID",
  "Species" : ["HUMAN", "METAMORPH"],
  "FP" : "4", 
  "Size" : "M",
  "AC" : 10,
  "HP" : 78, 
  "Speed" : "",
  "Alignments" : ["8_NM"],
  "Legendary" : ""}</v>
      </c>
    </row>
    <row r="686" spans="1:16">
      <c r="A686" s="61" t="s">
        <v>5373</v>
      </c>
      <c r="B686" s="297" t="s">
        <v>5373</v>
      </c>
      <c r="C686" s="305">
        <v>1</v>
      </c>
      <c r="D686" s="297" t="s">
        <v>4242</v>
      </c>
      <c r="E686" s="297" t="str">
        <f t="shared" si="30"/>
        <v>Humanoïde</v>
      </c>
      <c r="F686" s="297" t="str">
        <f>VLOOKUP(E686,'Types de monstres'!$A$2:$B$17,2,FALSE)</f>
        <v>HUMANOID</v>
      </c>
      <c r="G686" s="297" t="str">
        <f t="shared" si="31"/>
        <v>humain</v>
      </c>
      <c r="H686" s="297" t="str">
        <f>IF(OR(G686="",G686="toute race"),"",VLOOKUP(G686,'Types de monstres'!$F$2:$G$49,2,FALSE))</f>
        <v>HUMAN</v>
      </c>
      <c r="I686" s="297" t="s">
        <v>4091</v>
      </c>
      <c r="J686" s="302">
        <v>12</v>
      </c>
      <c r="K686" s="302">
        <v>22</v>
      </c>
      <c r="L686" s="297"/>
      <c r="M686" s="297" t="s">
        <v>4097</v>
      </c>
      <c r="N686" s="297" t="str">
        <f>IF(M686="sans alignement","",IF(M686="tout alignement", """1_LB"", ""2_NB"", ""3_CB"", ""4_LN"", ""5_NN"", ""6_CN"", ""7_LM"", ""8_NM"", ""9_CM""",IF(M686="tout alignement non bon", """4_LN"", ""5_NN"", ""6_CN"", ""7_LM"", ""8_NM"", ""9_CM""",IF(M686="tout alignement mauvais", """7_LM"", ""8_NM"", ""9_CM""",IF(M686="tout alignement chaotique", """3_CB"", ""6_CN"", ""9_CM""",IF(M686="tout alignement non loyal", """2_NB"", ""3_CB"", ""5_NN"", ""6_CN"", ""8_NM"", ""9_CM""",""""&amp;VLOOKUP(M686,Alignements!$A$2:$B$10,2, FALSE)&amp;""""))))))</f>
        <v>"7_LM"</v>
      </c>
      <c r="O686" s="297"/>
      <c r="P686" t="str">
        <f t="shared" si="32"/>
        <v>"Sanuya": {
  "Name" : "Sanuya",
  "VO" : "Sanuya",
  "Family" : "HUMANOID",
  "Species" : ["HUMAN"],
  "FP" : "1", 
  "Size" : "M",
  "AC" : 12,
  "HP" : 22, 
  "Speed" : "",
  "Alignments" : ["7_LM"],
  "Legendary" : ""}</v>
      </c>
    </row>
    <row r="687" spans="1:16">
      <c r="A687" s="61" t="s">
        <v>5374</v>
      </c>
      <c r="B687" s="298" t="s">
        <v>5375</v>
      </c>
      <c r="C687" s="306" t="s">
        <v>5620</v>
      </c>
      <c r="D687" s="298" t="s">
        <v>4253</v>
      </c>
      <c r="E687" s="297" t="str">
        <f t="shared" si="30"/>
        <v>Fée</v>
      </c>
      <c r="F687" s="297" t="str">
        <f>VLOOKUP(E687,'Types de monstres'!$A$2:$B$17,2,FALSE)</f>
        <v>FAIRY</v>
      </c>
      <c r="G687" s="297" t="str">
        <f t="shared" si="31"/>
        <v/>
      </c>
      <c r="H687" s="297" t="str">
        <f>IF(OR(G687="",G687="toute race"),"",VLOOKUP(G687,'Types de monstres'!$F$2:$G$49,2,FALSE))</f>
        <v/>
      </c>
      <c r="I687" s="298" t="s">
        <v>4091</v>
      </c>
      <c r="J687" s="300">
        <v>14</v>
      </c>
      <c r="K687" s="300">
        <v>31</v>
      </c>
      <c r="L687" s="298"/>
      <c r="M687" s="298" t="s">
        <v>4243</v>
      </c>
      <c r="N687" s="297" t="str">
        <f>IF(M687="sans alignement","",IF(M687="tout alignement", """1_LB"", ""2_NB"", ""3_CB"", ""4_LN"", ""5_NN"", ""6_CN"", ""7_LM"", ""8_NM"", ""9_CM""",IF(M687="tout alignement non bon", """4_LN"", ""5_NN"", ""6_CN"", ""7_LM"", ""8_NM"", ""9_CM""",IF(M687="tout alignement mauvais", """7_LM"", ""8_NM"", ""9_CM""",IF(M687="tout alignement chaotique", """3_CB"", ""6_CN"", ""9_CM""",IF(M687="tout alignement non loyal", """2_NB"", ""3_CB"", ""5_NN"", ""6_CN"", ""8_NM"", ""9_CM""",""""&amp;VLOOKUP(M687,Alignements!$A$2:$B$10,2, FALSE)&amp;""""))))))</f>
        <v>"6_CN"</v>
      </c>
      <c r="O687" s="298"/>
      <c r="P687" t="str">
        <f t="shared" si="32"/>
        <v>"Satyre": {
  "Name" : "Satyre",
  "VO" : "Satyr",
  "Family" : "FAIRY",
  "Species" : [""],
  "FP" : "1/2", 
  "Size" : "M",
  "AC" : 14,
  "HP" : 31, 
  "Speed" : "",
  "Alignments" : ["6_CN"],
  "Legendary" : ""}</v>
      </c>
    </row>
    <row r="688" spans="1:16">
      <c r="A688" s="301" t="s">
        <v>5376</v>
      </c>
      <c r="B688" s="297" t="s">
        <v>5377</v>
      </c>
      <c r="C688" s="305">
        <v>1</v>
      </c>
      <c r="D688" s="297" t="s">
        <v>4121</v>
      </c>
      <c r="E688" s="297" t="str">
        <f t="shared" si="30"/>
        <v>Créature monstrueuse</v>
      </c>
      <c r="F688" s="297" t="str">
        <f>VLOOKUP(E688,'Types de monstres'!$A$2:$B$17,2,FALSE)</f>
        <v>MONSTROUS_CREATURE</v>
      </c>
      <c r="G688" s="297" t="str">
        <f t="shared" si="31"/>
        <v/>
      </c>
      <c r="H688" s="297" t="str">
        <f>IF(OR(G688="",G688="toute race"),"",VLOOKUP(G688,'Types de monstres'!$F$2:$G$49,2,FALSE))</f>
        <v/>
      </c>
      <c r="I688" s="297" t="s">
        <v>4112</v>
      </c>
      <c r="J688" s="302">
        <v>14</v>
      </c>
      <c r="K688" s="302">
        <v>22</v>
      </c>
      <c r="L688" s="297"/>
      <c r="M688" s="297" t="s">
        <v>4118</v>
      </c>
      <c r="N688" s="297" t="str">
        <f>IF(M688="sans alignement","",IF(M688="tout alignement", """1_LB"", ""2_NB"", ""3_CB"", ""4_LN"", ""5_NN"", ""6_CN"", ""7_LM"", ""8_NM"", ""9_CM""",IF(M688="tout alignement non bon", """4_LN"", ""5_NN"", ""6_CN"", ""7_LM"", ""8_NM"", ""9_CM""",IF(M688="tout alignement mauvais", """7_LM"", ""8_NM"", ""9_CM""",IF(M688="tout alignement chaotique", """3_CB"", ""6_CN"", ""9_CM""",IF(M688="tout alignement non loyal", """2_NB"", ""3_CB"", ""5_NN"", ""6_CN"", ""8_NM"", ""9_CM""",""""&amp;VLOOKUP(M688,Alignements!$A$2:$B$10,2, FALSE)&amp;""""))))))</f>
        <v>"8_NM"</v>
      </c>
      <c r="O688" s="297"/>
      <c r="P688" t="str">
        <f t="shared" si="32"/>
        <v>"Sauteur géant": {
  "Name" : "Sauteur géant",
  "VO" : "Giant Strider",
  "Family" : "MONSTROUS_CREATURE",
  "Species" : [""],
  "FP" : "1", 
  "Size" : "G",
  "AC" : 14,
  "HP" : 22, 
  "Speed" : "",
  "Alignments" : ["8_NM"],
  "Legendary" : ""}</v>
      </c>
    </row>
    <row r="689" spans="1:16">
      <c r="A689" s="61" t="s">
        <v>5378</v>
      </c>
      <c r="B689" s="298" t="s">
        <v>5378</v>
      </c>
      <c r="C689" s="306">
        <v>0</v>
      </c>
      <c r="D689" s="298" t="s">
        <v>4128</v>
      </c>
      <c r="E689" s="297" t="str">
        <f t="shared" si="30"/>
        <v>Bête</v>
      </c>
      <c r="F689" s="297" t="str">
        <f>VLOOKUP(E689,'Types de monstres'!$A$2:$B$17,2,FALSE)</f>
        <v>BEAST</v>
      </c>
      <c r="G689" s="297" t="str">
        <f t="shared" si="31"/>
        <v/>
      </c>
      <c r="H689" s="297" t="str">
        <f>IF(OR(G689="",G689="toute race"),"",VLOOKUP(G689,'Types de monstres'!$F$2:$G$49,2,FALSE))</f>
        <v/>
      </c>
      <c r="I689" s="298" t="s">
        <v>4154</v>
      </c>
      <c r="J689" s="300">
        <v>11</v>
      </c>
      <c r="K689" s="300">
        <v>1</v>
      </c>
      <c r="L689" s="298"/>
      <c r="M689" s="298" t="s">
        <v>4130</v>
      </c>
      <c r="N689" s="297" t="str">
        <f>IF(M689="sans alignement","",IF(M689="tout alignement", """1_LB"", ""2_NB"", ""3_CB"", ""4_LN"", ""5_NN"", ""6_CN"", ""7_LM"", ""8_NM"", ""9_CM""",IF(M689="tout alignement non bon", """4_LN"", ""5_NN"", ""6_CN"", ""7_LM"", ""8_NM"", ""9_CM""",IF(M689="tout alignement mauvais", """7_LM"", ""8_NM"", ""9_CM""",IF(M689="tout alignement chaotique", """3_CB"", ""6_CN"", ""9_CM""",IF(M689="tout alignement non loyal", """2_NB"", ""3_CB"", ""5_NN"", ""6_CN"", ""8_NM"", ""9_CM""",""""&amp;VLOOKUP(M689,Alignements!$A$2:$B$10,2, FALSE)&amp;""""))))))</f>
        <v/>
      </c>
      <c r="O689" s="298"/>
      <c r="P689" t="str">
        <f t="shared" si="32"/>
        <v>"Scorpion": {
  "Name" : "Scorpion",
  "VO" : "Scorpion",
  "Family" : "BEAST",
  "Species" : [""],
  "FP" : "0", 
  "Size" : "TP",
  "AC" : 11,
  "HP" : 1, 
  "Speed" : "",
  "Alignments" : [],
  "Legendary" : ""}</v>
      </c>
    </row>
    <row r="690" spans="1:16">
      <c r="A690" s="61" t="s">
        <v>5379</v>
      </c>
      <c r="B690" s="297" t="s">
        <v>5380</v>
      </c>
      <c r="C690" s="305">
        <v>3</v>
      </c>
      <c r="D690" s="297" t="s">
        <v>4128</v>
      </c>
      <c r="E690" s="297" t="str">
        <f t="shared" si="30"/>
        <v>Bête</v>
      </c>
      <c r="F690" s="297" t="str">
        <f>VLOOKUP(E690,'Types de monstres'!$A$2:$B$17,2,FALSE)</f>
        <v>BEAST</v>
      </c>
      <c r="G690" s="297" t="str">
        <f t="shared" si="31"/>
        <v/>
      </c>
      <c r="H690" s="297" t="str">
        <f>IF(OR(G690="",G690="toute race"),"",VLOOKUP(G690,'Types de monstres'!$F$2:$G$49,2,FALSE))</f>
        <v/>
      </c>
      <c r="I690" s="297" t="s">
        <v>4112</v>
      </c>
      <c r="J690" s="302">
        <v>15</v>
      </c>
      <c r="K690" s="302">
        <v>52</v>
      </c>
      <c r="L690" s="297"/>
      <c r="M690" s="297" t="s">
        <v>4130</v>
      </c>
      <c r="N690" s="297" t="str">
        <f>IF(M690="sans alignement","",IF(M690="tout alignement", """1_LB"", ""2_NB"", ""3_CB"", ""4_LN"", ""5_NN"", ""6_CN"", ""7_LM"", ""8_NM"", ""9_CM""",IF(M690="tout alignement non bon", """4_LN"", ""5_NN"", ""6_CN"", ""7_LM"", ""8_NM"", ""9_CM""",IF(M690="tout alignement mauvais", """7_LM"", ""8_NM"", ""9_CM""",IF(M690="tout alignement chaotique", """3_CB"", ""6_CN"", ""9_CM""",IF(M690="tout alignement non loyal", """2_NB"", ""3_CB"", ""5_NN"", ""6_CN"", ""8_NM"", ""9_CM""",""""&amp;VLOOKUP(M690,Alignements!$A$2:$B$10,2, FALSE)&amp;""""))))))</f>
        <v/>
      </c>
      <c r="O690" s="297"/>
      <c r="P690" t="str">
        <f t="shared" si="32"/>
        <v>"Scorpion géant": {
  "Name" : "Scorpion géant",
  "VO" : "Giant Scorpion",
  "Family" : "BEAST",
  "Species" : [""],
  "FP" : "3", 
  "Size" : "G",
  "AC" : 15,
  "HP" : 52, 
  "Speed" : "",
  "Alignments" : [],
  "Legendary" : ""}</v>
      </c>
    </row>
    <row r="691" spans="1:16">
      <c r="A691" s="61" t="s">
        <v>5381</v>
      </c>
      <c r="B691" s="298" t="s">
        <v>5382</v>
      </c>
      <c r="C691" s="306">
        <v>12</v>
      </c>
      <c r="D691" s="298" t="s">
        <v>4108</v>
      </c>
      <c r="E691" s="297" t="str">
        <f t="shared" si="30"/>
        <v>Humanoïde</v>
      </c>
      <c r="F691" s="297" t="str">
        <f>VLOOKUP(E691,'Types de monstres'!$A$2:$B$17,2,FALSE)</f>
        <v>HUMANOID</v>
      </c>
      <c r="G691" s="297" t="str">
        <f t="shared" si="31"/>
        <v>toute race</v>
      </c>
      <c r="H691" s="297" t="str">
        <f>IF(OR(G691="",G691="toute race"),"",VLOOKUP(G691,'Types de monstres'!$F$2:$G$49,2,FALSE))</f>
        <v/>
      </c>
      <c r="I691" s="298" t="s">
        <v>4091</v>
      </c>
      <c r="J691" s="300">
        <v>18</v>
      </c>
      <c r="K691" s="300">
        <v>229</v>
      </c>
      <c r="L691" s="298"/>
      <c r="M691" s="298" t="s">
        <v>4109</v>
      </c>
      <c r="N691" s="297" t="str">
        <f>IF(M691="sans alignement","",IF(M691="tout alignement", """1_LB"", ""2_NB"", ""3_CB"", ""4_LN"", ""5_NN"", ""6_CN"", ""7_LM"", ""8_NM"", ""9_CM""",IF(M691="tout alignement non bon", """4_LN"", ""5_NN"", ""6_CN"", ""7_LM"", ""8_NM"", ""9_CM""",IF(M691="tout alignement mauvais", """7_LM"", ""8_NM"", ""9_CM""",IF(M691="tout alignement chaotique", """3_CB"", ""6_CN"", ""9_CM""",IF(M691="tout alignement non loyal", """2_NB"", ""3_CB"", ""5_NN"", ""6_CN"", ""8_NM"", ""9_CM""",""""&amp;VLOOKUP(M691,Alignements!$A$2:$B$10,2, FALSE)&amp;""""))))))</f>
        <v>"1_LB", "2_NB", "3_CB", "4_LN", "5_NN", "6_CN", "7_LM", "8_NM", "9_CM"</v>
      </c>
      <c r="O691" s="298" t="s">
        <v>4114</v>
      </c>
      <c r="P691" t="str">
        <f t="shared" si="32"/>
        <v>"Seigneur de guerre": {
  "Name" : "Seigneur de guerre",
  "VO" : "Warlord",
  "Family" : "HUMANOID",
  "Species" : [""],
  "FP" : "12", 
  "Size" : "M",
  "AC" : 18,
  "HP" : 229, 
  "Speed" : "",
  "Alignments" : ["1_LB", "2_NB", "3_CB", "4_LN", "5_NN", "6_CN", "7_LM", "8_NM", "9_CM"],
  "Legendary" : "Légendaire"}</v>
      </c>
    </row>
    <row r="692" spans="1:16" ht="21">
      <c r="A692" s="301" t="s">
        <v>5383</v>
      </c>
      <c r="B692" s="297" t="s">
        <v>5384</v>
      </c>
      <c r="C692" s="305">
        <v>15</v>
      </c>
      <c r="D692" s="297" t="s">
        <v>4117</v>
      </c>
      <c r="E692" s="297" t="str">
        <f t="shared" si="30"/>
        <v>Mort-vivant</v>
      </c>
      <c r="F692" s="297" t="str">
        <f>VLOOKUP(E692,'Types de monstres'!$A$2:$B$17,2,FALSE)</f>
        <v>UNDEAD</v>
      </c>
      <c r="G692" s="297" t="str">
        <f t="shared" si="31"/>
        <v/>
      </c>
      <c r="H692" s="297" t="str">
        <f>IF(OR(G692="",G692="toute race"),"",VLOOKUP(G692,'Types de monstres'!$F$2:$G$49,2,FALSE))</f>
        <v/>
      </c>
      <c r="I692" s="297" t="s">
        <v>4091</v>
      </c>
      <c r="J692" s="302">
        <v>18</v>
      </c>
      <c r="K692" s="302">
        <v>105</v>
      </c>
      <c r="L692" s="297"/>
      <c r="M692" s="297" t="s">
        <v>4097</v>
      </c>
      <c r="N692" s="297" t="str">
        <f>IF(M692="sans alignement","",IF(M692="tout alignement", """1_LB"", ""2_NB"", ""3_CB"", ""4_LN"", ""5_NN"", ""6_CN"", ""7_LM"", ""8_NM"", ""9_CM""",IF(M692="tout alignement non bon", """4_LN"", ""5_NN"", ""6_CN"", ""7_LM"", ""8_NM"", ""9_CM""",IF(M692="tout alignement mauvais", """7_LM"", ""8_NM"", ""9_CM""",IF(M692="tout alignement chaotique", """3_CB"", ""6_CN"", ""9_CM""",IF(M692="tout alignement non loyal", """2_NB"", ""3_CB"", ""5_NN"", ""6_CN"", ""8_NM"", ""9_CM""",""""&amp;VLOOKUP(M692,Alignements!$A$2:$B$10,2, FALSE)&amp;""""))))))</f>
        <v>"7_LM"</v>
      </c>
      <c r="O692" s="297"/>
      <c r="P692" t="str">
        <f t="shared" si="32"/>
        <v>"Seigneur des crânes": {
  "Name" : "Seigneur des crânes",
  "VO" : "Skull Lord",
  "Family" : "UNDEAD",
  "Species" : [""],
  "FP" : "15", 
  "Size" : "M",
  "AC" : 18,
  "HP" : 105, 
  "Speed" : "",
  "Alignments" : ["7_LM"],
  "Legendary" : ""}</v>
      </c>
    </row>
    <row r="693" spans="1:16">
      <c r="A693" s="61" t="s">
        <v>5385</v>
      </c>
      <c r="B693" s="298" t="s">
        <v>5386</v>
      </c>
      <c r="C693" s="306">
        <v>15</v>
      </c>
      <c r="D693" s="298" t="s">
        <v>4117</v>
      </c>
      <c r="E693" s="297" t="str">
        <f t="shared" si="30"/>
        <v>Mort-vivant</v>
      </c>
      <c r="F693" s="297" t="str">
        <f>VLOOKUP(E693,'Types de monstres'!$A$2:$B$17,2,FALSE)</f>
        <v>UNDEAD</v>
      </c>
      <c r="G693" s="297" t="str">
        <f t="shared" si="31"/>
        <v/>
      </c>
      <c r="H693" s="297" t="str">
        <f>IF(OR(G693="",G693="toute race"),"",VLOOKUP(G693,'Types de monstres'!$F$2:$G$49,2,FALSE))</f>
        <v/>
      </c>
      <c r="I693" s="298" t="s">
        <v>4091</v>
      </c>
      <c r="J693" s="300">
        <v>17</v>
      </c>
      <c r="K693" s="300">
        <v>97</v>
      </c>
      <c r="L693" s="298"/>
      <c r="M693" s="298" t="s">
        <v>4097</v>
      </c>
      <c r="N693" s="297" t="str">
        <f>IF(M693="sans alignement","",IF(M693="tout alignement", """1_LB"", ""2_NB"", ""3_CB"", ""4_LN"", ""5_NN"", ""6_CN"", ""7_LM"", ""8_NM"", ""9_CM""",IF(M693="tout alignement non bon", """4_LN"", ""5_NN"", ""6_CN"", ""7_LM"", ""8_NM"", ""9_CM""",IF(M693="tout alignement mauvais", """7_LM"", ""8_NM"", ""9_CM""",IF(M693="tout alignement chaotique", """3_CB"", ""6_CN"", ""9_CM""",IF(M693="tout alignement non loyal", """2_NB"", ""3_CB"", ""5_NN"", ""6_CN"", ""8_NM"", ""9_CM""",""""&amp;VLOOKUP(M693,Alignements!$A$2:$B$10,2, FALSE)&amp;""""))))))</f>
        <v>"7_LM"</v>
      </c>
      <c r="O693" s="298" t="s">
        <v>4114</v>
      </c>
      <c r="P693" t="str">
        <f t="shared" si="32"/>
        <v>"Seigneur momie": {
  "Name" : "Seigneur momie",
  "VO" : "Mummy Lord",
  "Family" : "UNDEAD",
  "Species" : [""],
  "FP" : "15", 
  "Size" : "M",
  "AC" : 17,
  "HP" : 97, 
  "Speed" : "",
  "Alignments" : ["7_LM"],
  "Legendary" : "Légendaire"}</v>
      </c>
    </row>
    <row r="694" spans="1:16" ht="21">
      <c r="A694" s="61" t="s">
        <v>5387</v>
      </c>
      <c r="B694" s="297" t="s">
        <v>5387</v>
      </c>
      <c r="C694" s="305">
        <v>2</v>
      </c>
      <c r="D694" s="297" t="s">
        <v>4351</v>
      </c>
      <c r="E694" s="297" t="str">
        <f t="shared" si="30"/>
        <v>Humanoïde</v>
      </c>
      <c r="F694" s="297" t="str">
        <f>VLOOKUP(E694,'Types de monstres'!$A$2:$B$17,2,FALSE)</f>
        <v>HUMANOID</v>
      </c>
      <c r="G694" s="297" t="str">
        <f t="shared" si="31"/>
        <v>humain, métamorphe</v>
      </c>
      <c r="H694" s="297" t="s">
        <v>5721</v>
      </c>
      <c r="I694" s="297" t="s">
        <v>4091</v>
      </c>
      <c r="J694" s="302">
        <v>13</v>
      </c>
      <c r="K694" s="302">
        <v>33</v>
      </c>
      <c r="L694" s="297" t="s">
        <v>4113</v>
      </c>
      <c r="M694" s="297" t="s">
        <v>4243</v>
      </c>
      <c r="N694" s="297" t="str">
        <f>IF(M694="sans alignement","",IF(M694="tout alignement", """1_LB"", ""2_NB"", ""3_CB"", ""4_LN"", ""5_NN"", ""6_CN"", ""7_LM"", ""8_NM"", ""9_CM""",IF(M694="tout alignement non bon", """4_LN"", ""5_NN"", ""6_CN"", ""7_LM"", ""8_NM"", ""9_CM""",IF(M694="tout alignement mauvais", """7_LM"", ""8_NM"", ""9_CM""",IF(M694="tout alignement chaotique", """3_CB"", ""6_CN"", ""9_CM""",IF(M694="tout alignement non loyal", """2_NB"", ""3_CB"", ""5_NN"", ""6_CN"", ""8_NM"", ""9_CM""",""""&amp;VLOOKUP(M694,Alignements!$A$2:$B$10,2, FALSE)&amp;""""))))))</f>
        <v>"6_CN"</v>
      </c>
      <c r="O694" s="297"/>
      <c r="P694" t="str">
        <f t="shared" si="32"/>
        <v>"Selkie": {
  "Name" : "Selkie",
  "VO" : "Selkie",
  "Family" : "HUMANOID",
  "Species" : ["HUMAN", "METAMORPH"],
  "FP" : "2", 
  "Size" : "M",
  "AC" : 13,
  "HP" : 33, 
  "Speed" : "nage",
  "Alignments" : ["6_CN"],
  "Legendary" : ""}</v>
      </c>
    </row>
    <row r="695" spans="1:16">
      <c r="A695" s="61" t="s">
        <v>5388</v>
      </c>
      <c r="B695" s="298" t="s">
        <v>5389</v>
      </c>
      <c r="C695" s="306">
        <v>3</v>
      </c>
      <c r="D695" s="298" t="s">
        <v>4189</v>
      </c>
      <c r="E695" s="297" t="str">
        <f t="shared" si="30"/>
        <v>Élémentaire</v>
      </c>
      <c r="F695" s="297" t="str">
        <f>VLOOKUP(E695,'Types de monstres'!$A$2:$B$17,2,FALSE)</f>
        <v>ELEMENTARY</v>
      </c>
      <c r="G695" s="297" t="str">
        <f t="shared" si="31"/>
        <v/>
      </c>
      <c r="H695" s="297" t="str">
        <f>IF(OR(G695="",G695="toute race"),"",VLOOKUP(G695,'Types de monstres'!$F$2:$G$49,2,FALSE))</f>
        <v/>
      </c>
      <c r="I695" s="298" t="s">
        <v>4112</v>
      </c>
      <c r="J695" s="300">
        <v>13</v>
      </c>
      <c r="K695" s="300">
        <v>58</v>
      </c>
      <c r="L695" s="298" t="s">
        <v>4113</v>
      </c>
      <c r="M695" s="298" t="s">
        <v>4193</v>
      </c>
      <c r="N695" s="297" t="str">
        <f>IF(M695="sans alignement","",IF(M695="tout alignement", """1_LB"", ""2_NB"", ""3_CB"", ""4_LN"", ""5_NN"", ""6_CN"", ""7_LM"", ""8_NM"", ""9_CM""",IF(M695="tout alignement non bon", """4_LN"", ""5_NN"", ""6_CN"", ""7_LM"", ""8_NM"", ""9_CM""",IF(M695="tout alignement mauvais", """7_LM"", ""8_NM"", ""9_CM""",IF(M695="tout alignement chaotique", """3_CB"", ""6_CN"", ""9_CM""",IF(M695="tout alignement non loyal", """2_NB"", ""3_CB"", ""5_NN"", ""6_CN"", ""8_NM"", ""9_CM""",""""&amp;VLOOKUP(M695,Alignements!$A$2:$B$10,2, FALSE)&amp;""""))))))</f>
        <v>"5_NN"</v>
      </c>
      <c r="O695" s="298"/>
      <c r="P695" t="str">
        <f t="shared" si="32"/>
        <v>"Sentinelle d'eau": {
  "Name" : "Sentinelle d'eau",
  "VO" : "Water Weird",
  "Family" : "ELEMENTARY",
  "Species" : [""],
  "FP" : "3", 
  "Size" : "G",
  "AC" : 13,
  "HP" : 58, 
  "Speed" : "nage",
  "Alignments" : ["5_NN"],
  "Legendary" : ""}</v>
      </c>
    </row>
    <row r="696" spans="1:16">
      <c r="A696" s="61" t="s">
        <v>5390</v>
      </c>
      <c r="B696" s="297" t="s">
        <v>5391</v>
      </c>
      <c r="C696" s="305" t="s">
        <v>5618</v>
      </c>
      <c r="D696" s="297" t="s">
        <v>4128</v>
      </c>
      <c r="E696" s="297" t="str">
        <f t="shared" si="30"/>
        <v>Bête</v>
      </c>
      <c r="F696" s="297" t="str">
        <f>VLOOKUP(E696,'Types de monstres'!$A$2:$B$17,2,FALSE)</f>
        <v>BEAST</v>
      </c>
      <c r="G696" s="297" t="str">
        <f t="shared" si="31"/>
        <v/>
      </c>
      <c r="H696" s="297" t="str">
        <f>IF(OR(G696="",G696="toute race"),"",VLOOKUP(G696,'Types de monstres'!$F$2:$G$49,2,FALSE))</f>
        <v/>
      </c>
      <c r="I696" s="297" t="s">
        <v>4112</v>
      </c>
      <c r="J696" s="302">
        <v>12</v>
      </c>
      <c r="K696" s="302">
        <v>13</v>
      </c>
      <c r="L696" s="297" t="s">
        <v>4113</v>
      </c>
      <c r="M696" s="297" t="s">
        <v>4130</v>
      </c>
      <c r="N696" s="297" t="str">
        <f>IF(M696="sans alignement","",IF(M696="tout alignement", """1_LB"", ""2_NB"", ""3_CB"", ""4_LN"", ""5_NN"", ""6_CN"", ""7_LM"", ""8_NM"", ""9_CM""",IF(M696="tout alignement non bon", """4_LN"", ""5_NN"", ""6_CN"", ""7_LM"", ""8_NM"", ""9_CM""",IF(M696="tout alignement mauvais", """7_LM"", ""8_NM"", ""9_CM""",IF(M696="tout alignement chaotique", """3_CB"", ""6_CN"", ""9_CM""",IF(M696="tout alignement non loyal", """2_NB"", ""3_CB"", ""5_NN"", ""6_CN"", ""8_NM"", ""9_CM""",""""&amp;VLOOKUP(M696,Alignements!$A$2:$B$10,2, FALSE)&amp;""""))))))</f>
        <v/>
      </c>
      <c r="O696" s="297"/>
      <c r="P696" t="str">
        <f t="shared" si="32"/>
        <v>"Serpent constricteur": {
  "Name" : "Serpent constricteur",
  "VO" : "Constrictor Snake",
  "Family" : "BEAST",
  "Species" : [""],
  "FP" : "1/4", 
  "Size" : "G",
  "AC" : 12,
  "HP" : 13, 
  "Speed" : "nage",
  "Alignments" : [],
  "Legendary" : ""}</v>
      </c>
    </row>
    <row r="697" spans="1:16" ht="21">
      <c r="A697" s="61" t="s">
        <v>5392</v>
      </c>
      <c r="B697" s="298" t="s">
        <v>5393</v>
      </c>
      <c r="C697" s="306">
        <v>2</v>
      </c>
      <c r="D697" s="298" t="s">
        <v>4128</v>
      </c>
      <c r="E697" s="297" t="str">
        <f t="shared" si="30"/>
        <v>Bête</v>
      </c>
      <c r="F697" s="297" t="str">
        <f>VLOOKUP(E697,'Types de monstres'!$A$2:$B$17,2,FALSE)</f>
        <v>BEAST</v>
      </c>
      <c r="G697" s="297" t="str">
        <f t="shared" si="31"/>
        <v/>
      </c>
      <c r="H697" s="297" t="str">
        <f>IF(OR(G697="",G697="toute race"),"",VLOOKUP(G697,'Types de monstres'!$F$2:$G$49,2,FALSE))</f>
        <v/>
      </c>
      <c r="I697" s="298" t="s">
        <v>4149</v>
      </c>
      <c r="J697" s="300">
        <v>12</v>
      </c>
      <c r="K697" s="300">
        <v>60</v>
      </c>
      <c r="L697" s="298" t="s">
        <v>4113</v>
      </c>
      <c r="M697" s="298" t="s">
        <v>4130</v>
      </c>
      <c r="N697" s="297" t="str">
        <f>IF(M697="sans alignement","",IF(M697="tout alignement", """1_LB"", ""2_NB"", ""3_CB"", ""4_LN"", ""5_NN"", ""6_CN"", ""7_LM"", ""8_NM"", ""9_CM""",IF(M697="tout alignement non bon", """4_LN"", ""5_NN"", ""6_CN"", ""7_LM"", ""8_NM"", ""9_CM""",IF(M697="tout alignement mauvais", """7_LM"", ""8_NM"", ""9_CM""",IF(M697="tout alignement chaotique", """3_CB"", ""6_CN"", ""9_CM""",IF(M697="tout alignement non loyal", """2_NB"", ""3_CB"", ""5_NN"", ""6_CN"", ""8_NM"", ""9_CM""",""""&amp;VLOOKUP(M697,Alignements!$A$2:$B$10,2, FALSE)&amp;""""))))))</f>
        <v/>
      </c>
      <c r="O697" s="298"/>
      <c r="P697" t="str">
        <f t="shared" si="32"/>
        <v>"Serpent constricteur géant": {
  "Name" : "Serpent constricteur géant",
  "VO" : "Giant Constrictor Snake",
  "Family" : "BEAST",
  "Species" : [""],
  "FP" : "2", 
  "Size" : "TG",
  "AC" : 12,
  "HP" : 60, 
  "Speed" : "nage",
  "Alignments" : [],
  "Legendary" : ""}</v>
      </c>
    </row>
    <row r="698" spans="1:16">
      <c r="A698" s="61" t="s">
        <v>5394</v>
      </c>
      <c r="B698" s="297" t="s">
        <v>5395</v>
      </c>
      <c r="C698" s="305">
        <v>1</v>
      </c>
      <c r="D698" s="297" t="s">
        <v>4189</v>
      </c>
      <c r="E698" s="297" t="str">
        <f t="shared" si="30"/>
        <v>Élémentaire</v>
      </c>
      <c r="F698" s="297" t="str">
        <f>VLOOKUP(E698,'Types de monstres'!$A$2:$B$17,2,FALSE)</f>
        <v>ELEMENTARY</v>
      </c>
      <c r="G698" s="297" t="str">
        <f t="shared" si="31"/>
        <v/>
      </c>
      <c r="H698" s="297" t="str">
        <f>IF(OR(G698="",G698="toute race"),"",VLOOKUP(G698,'Types de monstres'!$F$2:$G$49,2,FALSE))</f>
        <v/>
      </c>
      <c r="I698" s="297" t="s">
        <v>4091</v>
      </c>
      <c r="J698" s="302">
        <v>14</v>
      </c>
      <c r="K698" s="302">
        <v>22</v>
      </c>
      <c r="L698" s="297"/>
      <c r="M698" s="297" t="s">
        <v>4118</v>
      </c>
      <c r="N698" s="297" t="str">
        <f>IF(M698="sans alignement","",IF(M698="tout alignement", """1_LB"", ""2_NB"", ""3_CB"", ""4_LN"", ""5_NN"", ""6_CN"", ""7_LM"", ""8_NM"", ""9_CM""",IF(M698="tout alignement non bon", """4_LN"", ""5_NN"", ""6_CN"", ""7_LM"", ""8_NM"", ""9_CM""",IF(M698="tout alignement mauvais", """7_LM"", ""8_NM"", ""9_CM""",IF(M698="tout alignement chaotique", """3_CB"", ""6_CN"", ""9_CM""",IF(M698="tout alignement non loyal", """2_NB"", ""3_CB"", ""5_NN"", ""6_CN"", ""8_NM"", ""9_CM""",""""&amp;VLOOKUP(M698,Alignements!$A$2:$B$10,2, FALSE)&amp;""""))))))</f>
        <v>"8_NM"</v>
      </c>
      <c r="O698" s="297"/>
      <c r="P698" t="str">
        <f t="shared" si="32"/>
        <v>"Serpent de feu": {
  "Name" : "Serpent de feu",
  "VO" : "Fire Snake",
  "Family" : "ELEMENTARY",
  "Species" : [""],
  "FP" : "1", 
  "Size" : "M",
  "AC" : 14,
  "HP" : 22, 
  "Speed" : "",
  "Alignments" : ["8_NM"],
  "Legendary" : ""}</v>
      </c>
    </row>
    <row r="699" spans="1:16">
      <c r="A699" s="61" t="s">
        <v>5396</v>
      </c>
      <c r="B699" s="298" t="s">
        <v>5397</v>
      </c>
      <c r="C699" s="306" t="s">
        <v>5619</v>
      </c>
      <c r="D699" s="298" t="s">
        <v>4128</v>
      </c>
      <c r="E699" s="297" t="str">
        <f t="shared" si="30"/>
        <v>Bête</v>
      </c>
      <c r="F699" s="297" t="str">
        <f>VLOOKUP(E699,'Types de monstres'!$A$2:$B$17,2,FALSE)</f>
        <v>BEAST</v>
      </c>
      <c r="G699" s="297" t="str">
        <f t="shared" si="31"/>
        <v/>
      </c>
      <c r="H699" s="297" t="str">
        <f>IF(OR(G699="",G699="toute race"),"",VLOOKUP(G699,'Types de monstres'!$F$2:$G$49,2,FALSE))</f>
        <v/>
      </c>
      <c r="I699" s="298" t="s">
        <v>4154</v>
      </c>
      <c r="J699" s="300">
        <v>13</v>
      </c>
      <c r="K699" s="300">
        <v>2</v>
      </c>
      <c r="L699" s="298" t="s">
        <v>4113</v>
      </c>
      <c r="M699" s="298" t="s">
        <v>4130</v>
      </c>
      <c r="N699" s="297" t="str">
        <f>IF(M699="sans alignement","",IF(M699="tout alignement", """1_LB"", ""2_NB"", ""3_CB"", ""4_LN"", ""5_NN"", ""6_CN"", ""7_LM"", ""8_NM"", ""9_CM""",IF(M699="tout alignement non bon", """4_LN"", ""5_NN"", ""6_CN"", ""7_LM"", ""8_NM"", ""9_CM""",IF(M699="tout alignement mauvais", """7_LM"", ""8_NM"", ""9_CM""",IF(M699="tout alignement chaotique", """3_CB"", ""6_CN"", ""9_CM""",IF(M699="tout alignement non loyal", """2_NB"", ""3_CB"", ""5_NN"", ""6_CN"", ""8_NM"", ""9_CM""",""""&amp;VLOOKUP(M699,Alignements!$A$2:$B$10,2, FALSE)&amp;""""))))))</f>
        <v/>
      </c>
      <c r="O699" s="298"/>
      <c r="P699" t="str">
        <f t="shared" si="32"/>
        <v>"Serpent venimeux": {
  "Name" : "Serpent venimeux",
  "VO" : "Poisonous Snake",
  "Family" : "BEAST",
  "Species" : [""],
  "FP" : "1/8", 
  "Size" : "TP",
  "AC" : 13,
  "HP" : 2, 
  "Speed" : "nage",
  "Alignments" : [],
  "Legendary" : ""}</v>
      </c>
    </row>
    <row r="700" spans="1:16" ht="21">
      <c r="A700" s="61" t="s">
        <v>5398</v>
      </c>
      <c r="B700" s="297" t="s">
        <v>5399</v>
      </c>
      <c r="C700" s="305" t="s">
        <v>5618</v>
      </c>
      <c r="D700" s="297" t="s">
        <v>4128</v>
      </c>
      <c r="E700" s="297" t="str">
        <f t="shared" si="30"/>
        <v>Bête</v>
      </c>
      <c r="F700" s="297" t="str">
        <f>VLOOKUP(E700,'Types de monstres'!$A$2:$B$17,2,FALSE)</f>
        <v>BEAST</v>
      </c>
      <c r="G700" s="297" t="str">
        <f t="shared" si="31"/>
        <v/>
      </c>
      <c r="H700" s="297" t="str">
        <f>IF(OR(G700="",G700="toute race"),"",VLOOKUP(G700,'Types de monstres'!$F$2:$G$49,2,FALSE))</f>
        <v/>
      </c>
      <c r="I700" s="297" t="s">
        <v>4091</v>
      </c>
      <c r="J700" s="302">
        <v>14</v>
      </c>
      <c r="K700" s="302">
        <v>11</v>
      </c>
      <c r="L700" s="297" t="s">
        <v>4113</v>
      </c>
      <c r="M700" s="297" t="s">
        <v>4130</v>
      </c>
      <c r="N700" s="297" t="str">
        <f>IF(M700="sans alignement","",IF(M700="tout alignement", """1_LB"", ""2_NB"", ""3_CB"", ""4_LN"", ""5_NN"", ""6_CN"", ""7_LM"", ""8_NM"", ""9_CM""",IF(M700="tout alignement non bon", """4_LN"", ""5_NN"", ""6_CN"", ""7_LM"", ""8_NM"", ""9_CM""",IF(M700="tout alignement mauvais", """7_LM"", ""8_NM"", ""9_CM""",IF(M700="tout alignement chaotique", """3_CB"", ""6_CN"", ""9_CM""",IF(M700="tout alignement non loyal", """2_NB"", ""3_CB"", ""5_NN"", ""6_CN"", ""8_NM"", ""9_CM""",""""&amp;VLOOKUP(M700,Alignements!$A$2:$B$10,2, FALSE)&amp;""""))))))</f>
        <v/>
      </c>
      <c r="O700" s="297"/>
      <c r="P700" t="str">
        <f t="shared" si="32"/>
        <v>"Serpent venimeux géant": {
  "Name" : "Serpent venimeux géant",
  "VO" : "Giant Poisonous Snake",
  "Family" : "BEAST",
  "Species" : [""],
  "FP" : "1/4", 
  "Size" : "M",
  "AC" : 14,
  "HP" : 11, 
  "Speed" : "nage",
  "Alignments" : [],
  "Legendary" : ""}</v>
      </c>
    </row>
    <row r="701" spans="1:16">
      <c r="A701" s="61" t="s">
        <v>5400</v>
      </c>
      <c r="B701" s="298" t="s">
        <v>5401</v>
      </c>
      <c r="C701" s="306" t="s">
        <v>5619</v>
      </c>
      <c r="D701" s="298" t="s">
        <v>4128</v>
      </c>
      <c r="E701" s="297" t="str">
        <f t="shared" si="30"/>
        <v>Bête</v>
      </c>
      <c r="F701" s="297" t="str">
        <f>VLOOKUP(E701,'Types de monstres'!$A$2:$B$17,2,FALSE)</f>
        <v>BEAST</v>
      </c>
      <c r="G701" s="297" t="str">
        <f t="shared" si="31"/>
        <v/>
      </c>
      <c r="H701" s="297" t="str">
        <f>IF(OR(G701="",G701="toute race"),"",VLOOKUP(G701,'Types de monstres'!$F$2:$G$49,2,FALSE))</f>
        <v/>
      </c>
      <c r="I701" s="298" t="s">
        <v>4154</v>
      </c>
      <c r="J701" s="300">
        <v>14</v>
      </c>
      <c r="K701" s="300">
        <v>5</v>
      </c>
      <c r="L701" s="298" t="s">
        <v>4452</v>
      </c>
      <c r="M701" s="298" t="s">
        <v>4130</v>
      </c>
      <c r="N701" s="297" t="str">
        <f>IF(M701="sans alignement","",IF(M701="tout alignement", """1_LB"", ""2_NB"", ""3_CB"", ""4_LN"", ""5_NN"", ""6_CN"", ""7_LM"", ""8_NM"", ""9_CM""",IF(M701="tout alignement non bon", """4_LN"", ""5_NN"", ""6_CN"", ""7_LM"", ""8_NM"", ""9_CM""",IF(M701="tout alignement mauvais", """7_LM"", ""8_NM"", ""9_CM""",IF(M701="tout alignement chaotique", """3_CB"", ""6_CN"", ""9_CM""",IF(M701="tout alignement non loyal", """2_NB"", ""3_CB"", ""5_NN"", ""6_CN"", ""8_NM"", ""9_CM""",""""&amp;VLOOKUP(M701,Alignements!$A$2:$B$10,2, FALSE)&amp;""""))))))</f>
        <v/>
      </c>
      <c r="O701" s="298"/>
      <c r="P701" t="str">
        <f t="shared" si="32"/>
        <v>"Serpent volant": {
  "Name" : "Serpent volant",
  "VO" : "Flying Snake",
  "Family" : "BEAST",
  "Species" : [""],
  "FP" : "1/8", 
  "Size" : "TP",
  "AC" : 14,
  "HP" : 5, 
  "Speed" : "vol, nage",
  "Alignments" : [],
  "Legendary" : ""}</v>
      </c>
    </row>
    <row r="702" spans="1:16" ht="31.5">
      <c r="A702" s="301" t="s">
        <v>5402</v>
      </c>
      <c r="B702" s="297" t="s">
        <v>5403</v>
      </c>
      <c r="C702" s="305">
        <v>7</v>
      </c>
      <c r="D702" s="297" t="s">
        <v>4541</v>
      </c>
      <c r="E702" s="297" t="str">
        <f t="shared" si="30"/>
        <v>Humanoïde</v>
      </c>
      <c r="F702" s="297" t="str">
        <f>VLOOKUP(E702,'Types de monstres'!$A$2:$B$17,2,FALSE)</f>
        <v>HUMANOID</v>
      </c>
      <c r="G702" s="297" t="str">
        <f t="shared" si="31"/>
        <v>elfe</v>
      </c>
      <c r="H702" s="297" t="str">
        <f>IF(OR(G702="",G702="toute race"),"",VLOOKUP(G702,'Types de monstres'!$F$2:$G$49,2,FALSE))</f>
        <v>ELF</v>
      </c>
      <c r="I702" s="297" t="s">
        <v>4091</v>
      </c>
      <c r="J702" s="302">
        <v>15</v>
      </c>
      <c r="K702" s="302">
        <v>71</v>
      </c>
      <c r="L702" s="297"/>
      <c r="M702" s="297" t="s">
        <v>4193</v>
      </c>
      <c r="N702" s="297" t="str">
        <f>IF(M702="sans alignement","",IF(M702="tout alignement", """1_LB"", ""2_NB"", ""3_CB"", ""4_LN"", ""5_NN"", ""6_CN"", ""7_LM"", ""8_NM"", ""9_CM""",IF(M702="tout alignement non bon", """4_LN"", ""5_NN"", ""6_CN"", ""7_LM"", ""8_NM"", ""9_CM""",IF(M702="tout alignement mauvais", """7_LM"", ""8_NM"", ""9_CM""",IF(M702="tout alignement chaotique", """3_CB"", ""6_CN"", ""9_CM""",IF(M702="tout alignement non loyal", """2_NB"", ""3_CB"", ""5_NN"", ""6_CN"", ""8_NM"", ""9_CM""",""""&amp;VLOOKUP(M702,Alignements!$A$2:$B$10,2, FALSE)&amp;""""))))))</f>
        <v>"5_NN"</v>
      </c>
      <c r="O702" s="297"/>
      <c r="P702" t="str">
        <f t="shared" si="32"/>
        <v>"Shadar-kai, danseur des ombres": {
  "Name" : "Shadar-kai, danseur des ombres",
  "VO" : "Shadow Dancer",
  "Family" : "HUMANOID",
  "Species" : ["ELF"],
  "FP" : "7", 
  "Size" : "M",
  "AC" : 15,
  "HP" : 71, 
  "Speed" : "",
  "Alignments" : ["5_NN"],
  "Legendary" : ""}</v>
      </c>
    </row>
    <row r="703" spans="1:16" ht="21">
      <c r="A703" s="299" t="s">
        <v>5404</v>
      </c>
      <c r="B703" s="298" t="s">
        <v>5405</v>
      </c>
      <c r="C703" s="306">
        <v>11</v>
      </c>
      <c r="D703" s="298" t="s">
        <v>4541</v>
      </c>
      <c r="E703" s="297" t="str">
        <f t="shared" si="30"/>
        <v>Humanoïde</v>
      </c>
      <c r="F703" s="297" t="str">
        <f>VLOOKUP(E703,'Types de monstres'!$A$2:$B$17,2,FALSE)</f>
        <v>HUMANOID</v>
      </c>
      <c r="G703" s="297" t="str">
        <f t="shared" si="31"/>
        <v>elfe</v>
      </c>
      <c r="H703" s="297" t="str">
        <f>IF(OR(G703="",G703="toute race"),"",VLOOKUP(G703,'Types de monstres'!$F$2:$G$49,2,FALSE))</f>
        <v>ELF</v>
      </c>
      <c r="I703" s="298" t="s">
        <v>4091</v>
      </c>
      <c r="J703" s="300">
        <v>15</v>
      </c>
      <c r="K703" s="300">
        <v>123</v>
      </c>
      <c r="L703" s="298"/>
      <c r="M703" s="298" t="s">
        <v>4193</v>
      </c>
      <c r="N703" s="297" t="str">
        <f>IF(M703="sans alignement","",IF(M703="tout alignement", """1_LB"", ""2_NB"", ""3_CB"", ""4_LN"", ""5_NN"", ""6_CN"", ""7_LM"", ""8_NM"", ""9_CM""",IF(M703="tout alignement non bon", """4_LN"", ""5_NN"", ""6_CN"", ""7_LM"", ""8_NM"", ""9_CM""",IF(M703="tout alignement mauvais", """7_LM"", ""8_NM"", ""9_CM""",IF(M703="tout alignement chaotique", """3_CB"", ""6_CN"", ""9_CM""",IF(M703="tout alignement non loyal", """2_NB"", ""3_CB"", ""5_NN"", ""6_CN"", ""8_NM"", ""9_CM""",""""&amp;VLOOKUP(M703,Alignements!$A$2:$B$10,2, FALSE)&amp;""""))))))</f>
        <v>"5_NN"</v>
      </c>
      <c r="O703" s="298"/>
      <c r="P703" t="str">
        <f t="shared" si="32"/>
        <v>"Shadar-kai, marchand d'âmes": {
  "Name" : "Shadar-kai, marchand d'âmes",
  "VO" : "Soul Monger",
  "Family" : "HUMANOID",
  "Species" : ["ELF"],
  "FP" : "11", 
  "Size" : "M",
  "AC" : 15,
  "HP" : 123, 
  "Speed" : "",
  "Alignments" : ["5_NN"],
  "Legendary" : ""}</v>
      </c>
    </row>
    <row r="704" spans="1:16" ht="21">
      <c r="A704" s="301" t="s">
        <v>5406</v>
      </c>
      <c r="B704" s="297" t="s">
        <v>5407</v>
      </c>
      <c r="C704" s="305">
        <v>9</v>
      </c>
      <c r="D704" s="297" t="s">
        <v>4541</v>
      </c>
      <c r="E704" s="297" t="str">
        <f t="shared" si="30"/>
        <v>Humanoïde</v>
      </c>
      <c r="F704" s="297" t="str">
        <f>VLOOKUP(E704,'Types de monstres'!$A$2:$B$17,2,FALSE)</f>
        <v>HUMANOID</v>
      </c>
      <c r="G704" s="297" t="str">
        <f t="shared" si="31"/>
        <v>elfe</v>
      </c>
      <c r="H704" s="297" t="str">
        <f>IF(OR(G704="",G704="toute race"),"",VLOOKUP(G704,'Types de monstres'!$F$2:$G$49,2,FALSE))</f>
        <v>ELF</v>
      </c>
      <c r="I704" s="297" t="s">
        <v>4091</v>
      </c>
      <c r="J704" s="302">
        <v>14</v>
      </c>
      <c r="K704" s="302">
        <v>104</v>
      </c>
      <c r="L704" s="297"/>
      <c r="M704" s="297" t="s">
        <v>4193</v>
      </c>
      <c r="N704" s="297" t="str">
        <f>IF(M704="sans alignement","",IF(M704="tout alignement", """1_LB"", ""2_NB"", ""3_CB"", ""4_LN"", ""5_NN"", ""6_CN"", ""7_LM"", ""8_NM"", ""9_CM""",IF(M704="tout alignement non bon", """4_LN"", ""5_NN"", ""6_CN"", ""7_LM"", ""8_NM"", ""9_CM""",IF(M704="tout alignement mauvais", """7_LM"", ""8_NM"", ""9_CM""",IF(M704="tout alignement chaotique", """3_CB"", ""6_CN"", ""9_CM""",IF(M704="tout alignement non loyal", """2_NB"", ""3_CB"", ""5_NN"", ""6_CN"", ""8_NM"", ""9_CM""",""""&amp;VLOOKUP(M704,Alignements!$A$2:$B$10,2, FALSE)&amp;""""))))))</f>
        <v>"5_NN"</v>
      </c>
      <c r="O704" s="297"/>
      <c r="P704" t="str">
        <f t="shared" si="32"/>
        <v>"Shadar-kai, tisse-ombre": {
  "Name" : "Shadar-kai, tisse-ombre",
  "VO" : "Gloom Weaver",
  "Family" : "HUMANOID",
  "Species" : ["ELF"],
  "FP" : "9", 
  "Size" : "M",
  "AC" : 14,
  "HP" : 104, 
  "Speed" : "",
  "Alignments" : ["5_NN"],
  "Legendary" : ""}</v>
      </c>
    </row>
    <row r="705" spans="1:16">
      <c r="A705" s="61" t="s">
        <v>5408</v>
      </c>
      <c r="B705" s="298" t="s">
        <v>5408</v>
      </c>
      <c r="C705" s="306">
        <v>8</v>
      </c>
      <c r="D705" s="298" t="s">
        <v>4136</v>
      </c>
      <c r="E705" s="297" t="str">
        <f t="shared" si="30"/>
        <v>Fiélon</v>
      </c>
      <c r="F705" s="297" t="str">
        <f>VLOOKUP(E705,'Types de monstres'!$A$2:$B$17,2,FALSE)</f>
        <v>FIEND</v>
      </c>
      <c r="G705" s="297" t="str">
        <f t="shared" si="31"/>
        <v>démon</v>
      </c>
      <c r="H705" s="297" t="str">
        <f>IF(OR(G705="",G705="toute race"),"",VLOOKUP(G705,'Types de monstres'!$F$2:$G$49,2,FALSE))</f>
        <v>DAEMON</v>
      </c>
      <c r="I705" s="298" t="s">
        <v>4112</v>
      </c>
      <c r="J705" s="300">
        <v>14</v>
      </c>
      <c r="K705" s="300">
        <v>110</v>
      </c>
      <c r="L705" s="298"/>
      <c r="M705" s="298" t="s">
        <v>4137</v>
      </c>
      <c r="N705" s="297" t="str">
        <f>IF(M705="sans alignement","",IF(M705="tout alignement", """1_LB"", ""2_NB"", ""3_CB"", ""4_LN"", ""5_NN"", ""6_CN"", ""7_LM"", ""8_NM"", ""9_CM""",IF(M705="tout alignement non bon", """4_LN"", ""5_NN"", ""6_CN"", ""7_LM"", ""8_NM"", ""9_CM""",IF(M705="tout alignement mauvais", """7_LM"", ""8_NM"", ""9_CM""",IF(M705="tout alignement chaotique", """3_CB"", ""6_CN"", ""9_CM""",IF(M705="tout alignement non loyal", """2_NB"", ""3_CB"", ""5_NN"", ""6_CN"", ""8_NM"", ""9_CM""",""""&amp;VLOOKUP(M705,Alignements!$A$2:$B$10,2, FALSE)&amp;""""))))))</f>
        <v>"9_CM"</v>
      </c>
      <c r="O705" s="298"/>
      <c r="P705" t="str">
        <f t="shared" si="32"/>
        <v>"Shoosuva": {
  "Name" : "Shoosuva",
  "VO" : "Shoosuva",
  "Family" : "FIEND",
  "Species" : ["DAEMON"],
  "FP" : "8", 
  "Size" : "G",
  "AC" : 14,
  "HP" : 110, 
  "Speed" : "",
  "Alignments" : ["9_CM"],
  "Legendary" : ""}</v>
      </c>
    </row>
    <row r="706" spans="1:16">
      <c r="A706" s="61" t="s">
        <v>5409</v>
      </c>
      <c r="B706" s="297" t="s">
        <v>5409</v>
      </c>
      <c r="C706" s="305">
        <v>18</v>
      </c>
      <c r="D706" s="297" t="s">
        <v>4136</v>
      </c>
      <c r="E706" s="297" t="str">
        <f t="shared" si="30"/>
        <v>Fiélon</v>
      </c>
      <c r="F706" s="297" t="str">
        <f>VLOOKUP(E706,'Types de monstres'!$A$2:$B$17,2,FALSE)</f>
        <v>FIEND</v>
      </c>
      <c r="G706" s="297" t="str">
        <f t="shared" si="31"/>
        <v>démon</v>
      </c>
      <c r="H706" s="297" t="str">
        <f>IF(OR(G706="",G706="toute race"),"",VLOOKUP(G706,'Types de monstres'!$F$2:$G$49,2,FALSE))</f>
        <v>DAEMON</v>
      </c>
      <c r="I706" s="297" t="s">
        <v>4149</v>
      </c>
      <c r="J706" s="302">
        <v>19</v>
      </c>
      <c r="K706" s="302">
        <v>150</v>
      </c>
      <c r="L706" s="297" t="s">
        <v>4092</v>
      </c>
      <c r="M706" s="297" t="s">
        <v>4137</v>
      </c>
      <c r="N706" s="297" t="str">
        <f>IF(M706="sans alignement","",IF(M706="tout alignement", """1_LB"", ""2_NB"", ""3_CB"", ""4_LN"", ""5_NN"", ""6_CN"", ""7_LM"", ""8_NM"", ""9_CM""",IF(M706="tout alignement non bon", """4_LN"", ""5_NN"", ""6_CN"", ""7_LM"", ""8_NM"", ""9_CM""",IF(M706="tout alignement mauvais", """7_LM"", ""8_NM"", ""9_CM""",IF(M706="tout alignement chaotique", """3_CB"", ""6_CN"", ""9_CM""",IF(M706="tout alignement non loyal", """2_NB"", ""3_CB"", ""5_NN"", ""6_CN"", ""8_NM"", ""9_CM""",""""&amp;VLOOKUP(M706,Alignements!$A$2:$B$10,2, FALSE)&amp;""""))))))</f>
        <v>"9_CM"</v>
      </c>
      <c r="O706" s="297" t="s">
        <v>4114</v>
      </c>
      <c r="P706" t="str">
        <f t="shared" si="32"/>
        <v>"Sibriex": {
  "Name" : "Sibriex",
  "VO" : "Sibriex",
  "Family" : "FIEND",
  "Species" : ["DAEMON"],
  "FP" : "18", 
  "Size" : "TG",
  "AC" : 19,
  "HP" : 150, 
  "Speed" : "vol",
  "Alignments" : ["9_CM"],
  "Legendary" : "Légendaire"}</v>
      </c>
    </row>
    <row r="707" spans="1:16">
      <c r="A707" s="61" t="s">
        <v>5410</v>
      </c>
      <c r="B707" s="298" t="s">
        <v>5411</v>
      </c>
      <c r="C707" s="306">
        <v>7</v>
      </c>
      <c r="D707" s="298" t="s">
        <v>4128</v>
      </c>
      <c r="E707" s="297" t="str">
        <f t="shared" ref="E707:E770" si="33">IF(ISERROR( FIND("(",D707) ),D707,LEFT(D707, FIND("(",D707)-2))</f>
        <v>Bête</v>
      </c>
      <c r="F707" s="297" t="str">
        <f>VLOOKUP(E707,'Types de monstres'!$A$2:$B$17,2,FALSE)</f>
        <v>BEAST</v>
      </c>
      <c r="G707" s="297" t="str">
        <f t="shared" ref="G707:G770" si="34">IF(ISERROR( FIND("(",D707) ),"",RIGHT(LEFT(D707,LEN(D707)-1), LEN(D707)-FIND("(",D707)-1))</f>
        <v/>
      </c>
      <c r="H707" s="297" t="str">
        <f>IF(OR(G707="",G707="toute race"),"",VLOOKUP(G707,'Types de monstres'!$F$2:$G$49,2,FALSE))</f>
        <v/>
      </c>
      <c r="I707" s="298" t="s">
        <v>4149</v>
      </c>
      <c r="J707" s="300">
        <v>12</v>
      </c>
      <c r="K707" s="300">
        <v>157</v>
      </c>
      <c r="L707" s="298"/>
      <c r="M707" s="298" t="s">
        <v>4130</v>
      </c>
      <c r="N707" s="297" t="str">
        <f>IF(M707="sans alignement","",IF(M707="tout alignement", """1_LB"", ""2_NB"", ""3_CB"", ""4_LN"", ""5_NN"", ""6_CN"", ""7_LM"", ""8_NM"", ""9_CM""",IF(M707="tout alignement non bon", """4_LN"", ""5_NN"", ""6_CN"", ""7_LM"", ""8_NM"", ""9_CM""",IF(M707="tout alignement mauvais", """7_LM"", ""8_NM"", ""9_CM""",IF(M707="tout alignement chaotique", """3_CB"", ""6_CN"", ""9_CM""",IF(M707="tout alignement non loyal", """2_NB"", ""3_CB"", ""5_NN"", ""6_CN"", ""8_NM"", ""9_CM""",""""&amp;VLOOKUP(M707,Alignements!$A$2:$B$10,2, FALSE)&amp;""""))))))</f>
        <v/>
      </c>
      <c r="O707" s="298"/>
      <c r="P707" t="str">
        <f t="shared" ref="P707:P770" si="35">""""&amp;A707&amp;""": {
  ""Name"" : """&amp;A707&amp;""",
  ""VO"" : """&amp;B707&amp;""",
  ""Family"" : """&amp;F707&amp;""",
  ""Species"" : ["""&amp;SUBSTITUTE(H707,", ",""", """)&amp;"""],
  ""FP"" : """&amp;SUBSTITUTE(C707,"""","")&amp;""", 
  ""Size"" : """&amp;I707&amp;""",
  ""AC"" : "&amp;J707&amp;",
  ""HP"" : "&amp;K707&amp;", 
  ""Speed"" : """&amp;L707&amp;""",
  ""Alignments"" : ["&amp;N707&amp;"],
  ""Legendary"" : """&amp;O707&amp;"""}"</f>
        <v>"Singe géant": {
  "Name" : "Singe géant",
  "VO" : "Giant Ape",
  "Family" : "BEAST",
  "Species" : [""],
  "FP" : "7", 
  "Size" : "TG",
  "AC" : 12,
  "HP" : 157, 
  "Speed" : "",
  "Alignments" : [],
  "Legendary" : ""}</v>
      </c>
    </row>
    <row r="708" spans="1:16">
      <c r="A708" s="61" t="s">
        <v>5412</v>
      </c>
      <c r="B708" s="297" t="s">
        <v>5413</v>
      </c>
      <c r="C708" s="305">
        <v>7</v>
      </c>
      <c r="D708" s="297" t="s">
        <v>4111</v>
      </c>
      <c r="E708" s="297" t="str">
        <f t="shared" si="33"/>
        <v>Aberration</v>
      </c>
      <c r="F708" s="297" t="str">
        <f>VLOOKUP(E708,'Types de monstres'!$A$2:$B$17,2,FALSE)</f>
        <v>ABERRATION</v>
      </c>
      <c r="G708" s="297" t="str">
        <f t="shared" si="34"/>
        <v/>
      </c>
      <c r="H708" s="297" t="str">
        <f>IF(OR(G708="",G708="toute race"),"",VLOOKUP(G708,'Types de monstres'!$F$2:$G$49,2,FALSE))</f>
        <v/>
      </c>
      <c r="I708" s="297" t="s">
        <v>4112</v>
      </c>
      <c r="J708" s="302">
        <v>15</v>
      </c>
      <c r="K708" s="302">
        <v>123</v>
      </c>
      <c r="L708" s="297"/>
      <c r="M708" s="297" t="s">
        <v>4243</v>
      </c>
      <c r="N708" s="297" t="str">
        <f>IF(M708="sans alignement","",IF(M708="tout alignement", """1_LB"", ""2_NB"", ""3_CB"", ""4_LN"", ""5_NN"", ""6_CN"", ""7_LM"", ""8_NM"", ""9_CM""",IF(M708="tout alignement non bon", """4_LN"", ""5_NN"", ""6_CN"", ""7_LM"", ""8_NM"", ""9_CM""",IF(M708="tout alignement mauvais", """7_LM"", ""8_NM"", ""9_CM""",IF(M708="tout alignement chaotique", """3_CB"", ""6_CN"", ""9_CM""",IF(M708="tout alignement non loyal", """2_NB"", ""3_CB"", ""5_NN"", ""6_CN"", ""8_NM"", ""9_CM""",""""&amp;VLOOKUP(M708,Alignements!$A$2:$B$10,2, FALSE)&amp;""""))))))</f>
        <v>"6_CN"</v>
      </c>
      <c r="O708" s="297"/>
      <c r="P708" t="str">
        <f t="shared" si="35"/>
        <v>"Slaad bleu": {
  "Name" : "Slaad bleu",
  "VO" : "Blue Slaad",
  "Family" : "ABERRATION",
  "Species" : [""],
  "FP" : "7", 
  "Size" : "G",
  "AC" : 15,
  "HP" : 123, 
  "Speed" : "",
  "Alignments" : ["6_CN"],
  "Legendary" : ""}</v>
      </c>
    </row>
    <row r="709" spans="1:16">
      <c r="A709" s="61" t="s">
        <v>5414</v>
      </c>
      <c r="B709" s="298" t="s">
        <v>5415</v>
      </c>
      <c r="C709" s="306">
        <v>10</v>
      </c>
      <c r="D709" s="298" t="s">
        <v>5416</v>
      </c>
      <c r="E709" s="297" t="str">
        <f t="shared" si="33"/>
        <v>Aberration</v>
      </c>
      <c r="F709" s="297" t="str">
        <f>VLOOKUP(E709,'Types de monstres'!$A$2:$B$17,2,FALSE)</f>
        <v>ABERRATION</v>
      </c>
      <c r="G709" s="297" t="str">
        <f t="shared" si="34"/>
        <v>métamorphe</v>
      </c>
      <c r="H709" s="297" t="str">
        <f>IF(OR(G709="",G709="toute race"),"",VLOOKUP(G709,'Types de monstres'!$F$2:$G$49,2,FALSE))</f>
        <v>METAMORPH</v>
      </c>
      <c r="I709" s="298" t="s">
        <v>4091</v>
      </c>
      <c r="J709" s="300">
        <v>18</v>
      </c>
      <c r="K709" s="300">
        <v>170</v>
      </c>
      <c r="L709" s="298"/>
      <c r="M709" s="298" t="s">
        <v>4137</v>
      </c>
      <c r="N709" s="297" t="str">
        <f>IF(M709="sans alignement","",IF(M709="tout alignement", """1_LB"", ""2_NB"", ""3_CB"", ""4_LN"", ""5_NN"", ""6_CN"", ""7_LM"", ""8_NM"", ""9_CM""",IF(M709="tout alignement non bon", """4_LN"", ""5_NN"", ""6_CN"", ""7_LM"", ""8_NM"", ""9_CM""",IF(M709="tout alignement mauvais", """7_LM"", ""8_NM"", ""9_CM""",IF(M709="tout alignement chaotique", """3_CB"", ""6_CN"", ""9_CM""",IF(M709="tout alignement non loyal", """2_NB"", ""3_CB"", ""5_NN"", ""6_CN"", ""8_NM"", ""9_CM""",""""&amp;VLOOKUP(M709,Alignements!$A$2:$B$10,2, FALSE)&amp;""""))))))</f>
        <v>"9_CM"</v>
      </c>
      <c r="O709" s="298"/>
      <c r="P709" t="str">
        <f t="shared" si="35"/>
        <v>"Slaad funeste": {
  "Name" : "Slaad funeste",
  "VO" : "Death Slaad",
  "Family" : "ABERRATION",
  "Species" : ["METAMORPH"],
  "FP" : "10", 
  "Size" : "M",
  "AC" : 18,
  "HP" : 170, 
  "Speed" : "",
  "Alignments" : ["9_CM"],
  "Legendary" : ""}</v>
      </c>
    </row>
    <row r="710" spans="1:16">
      <c r="A710" s="61" t="s">
        <v>5417</v>
      </c>
      <c r="B710" s="297" t="s">
        <v>5418</v>
      </c>
      <c r="C710" s="305">
        <v>9</v>
      </c>
      <c r="D710" s="297" t="s">
        <v>5416</v>
      </c>
      <c r="E710" s="297" t="str">
        <f t="shared" si="33"/>
        <v>Aberration</v>
      </c>
      <c r="F710" s="297" t="str">
        <f>VLOOKUP(E710,'Types de monstres'!$A$2:$B$17,2,FALSE)</f>
        <v>ABERRATION</v>
      </c>
      <c r="G710" s="297" t="str">
        <f t="shared" si="34"/>
        <v>métamorphe</v>
      </c>
      <c r="H710" s="297" t="str">
        <f>IF(OR(G710="",G710="toute race"),"",VLOOKUP(G710,'Types de monstres'!$F$2:$G$49,2,FALSE))</f>
        <v>METAMORPH</v>
      </c>
      <c r="I710" s="297" t="s">
        <v>4091</v>
      </c>
      <c r="J710" s="302">
        <v>18</v>
      </c>
      <c r="K710" s="302">
        <v>127</v>
      </c>
      <c r="L710" s="297"/>
      <c r="M710" s="297" t="s">
        <v>4243</v>
      </c>
      <c r="N710" s="297" t="str">
        <f>IF(M710="sans alignement","",IF(M710="tout alignement", """1_LB"", ""2_NB"", ""3_CB"", ""4_LN"", ""5_NN"", ""6_CN"", ""7_LM"", ""8_NM"", ""9_CM""",IF(M710="tout alignement non bon", """4_LN"", ""5_NN"", ""6_CN"", ""7_LM"", ""8_NM"", ""9_CM""",IF(M710="tout alignement mauvais", """7_LM"", ""8_NM"", ""9_CM""",IF(M710="tout alignement chaotique", """3_CB"", ""6_CN"", ""9_CM""",IF(M710="tout alignement non loyal", """2_NB"", ""3_CB"", ""5_NN"", ""6_CN"", ""8_NM"", ""9_CM""",""""&amp;VLOOKUP(M710,Alignements!$A$2:$B$10,2, FALSE)&amp;""""))))))</f>
        <v>"6_CN"</v>
      </c>
      <c r="O710" s="297"/>
      <c r="P710" t="str">
        <f t="shared" si="35"/>
        <v>"Slaad gris": {
  "Name" : "Slaad gris",
  "VO" : "Gray Slaad",
  "Family" : "ABERRATION",
  "Species" : ["METAMORPH"],
  "FP" : "9", 
  "Size" : "M",
  "AC" : 18,
  "HP" : 127, 
  "Speed" : "",
  "Alignments" : ["6_CN"],
  "Legendary" : ""}</v>
      </c>
    </row>
    <row r="711" spans="1:16">
      <c r="A711" s="61" t="s">
        <v>5419</v>
      </c>
      <c r="B711" s="298" t="s">
        <v>5420</v>
      </c>
      <c r="C711" s="306">
        <v>5</v>
      </c>
      <c r="D711" s="298" t="s">
        <v>4111</v>
      </c>
      <c r="E711" s="297" t="str">
        <f t="shared" si="33"/>
        <v>Aberration</v>
      </c>
      <c r="F711" s="297" t="str">
        <f>VLOOKUP(E711,'Types de monstres'!$A$2:$B$17,2,FALSE)</f>
        <v>ABERRATION</v>
      </c>
      <c r="G711" s="297" t="str">
        <f t="shared" si="34"/>
        <v/>
      </c>
      <c r="H711" s="297" t="str">
        <f>IF(OR(G711="",G711="toute race"),"",VLOOKUP(G711,'Types de monstres'!$F$2:$G$49,2,FALSE))</f>
        <v/>
      </c>
      <c r="I711" s="298" t="s">
        <v>4112</v>
      </c>
      <c r="J711" s="300">
        <v>14</v>
      </c>
      <c r="K711" s="300">
        <v>93</v>
      </c>
      <c r="L711" s="298"/>
      <c r="M711" s="298" t="s">
        <v>4243</v>
      </c>
      <c r="N711" s="297" t="str">
        <f>IF(M711="sans alignement","",IF(M711="tout alignement", """1_LB"", ""2_NB"", ""3_CB"", ""4_LN"", ""5_NN"", ""6_CN"", ""7_LM"", ""8_NM"", ""9_CM""",IF(M711="tout alignement non bon", """4_LN"", ""5_NN"", ""6_CN"", ""7_LM"", ""8_NM"", ""9_CM""",IF(M711="tout alignement mauvais", """7_LM"", ""8_NM"", ""9_CM""",IF(M711="tout alignement chaotique", """3_CB"", ""6_CN"", ""9_CM""",IF(M711="tout alignement non loyal", """2_NB"", ""3_CB"", ""5_NN"", ""6_CN"", ""8_NM"", ""9_CM""",""""&amp;VLOOKUP(M711,Alignements!$A$2:$B$10,2, FALSE)&amp;""""))))))</f>
        <v>"6_CN"</v>
      </c>
      <c r="O711" s="298"/>
      <c r="P711" t="str">
        <f t="shared" si="35"/>
        <v>"Slaad rouge": {
  "Name" : "Slaad rouge",
  "VO" : "Red Slaad",
  "Family" : "ABERRATION",
  "Species" : [""],
  "FP" : "5", 
  "Size" : "G",
  "AC" : 14,
  "HP" : 93, 
  "Speed" : "",
  "Alignments" : ["6_CN"],
  "Legendary" : ""}</v>
      </c>
    </row>
    <row r="712" spans="1:16">
      <c r="A712" s="61" t="s">
        <v>5421</v>
      </c>
      <c r="B712" s="297" t="s">
        <v>5422</v>
      </c>
      <c r="C712" s="305">
        <v>8</v>
      </c>
      <c r="D712" s="297" t="s">
        <v>5416</v>
      </c>
      <c r="E712" s="297" t="str">
        <f t="shared" si="33"/>
        <v>Aberration</v>
      </c>
      <c r="F712" s="297" t="str">
        <f>VLOOKUP(E712,'Types de monstres'!$A$2:$B$17,2,FALSE)</f>
        <v>ABERRATION</v>
      </c>
      <c r="G712" s="297" t="str">
        <f t="shared" si="34"/>
        <v>métamorphe</v>
      </c>
      <c r="H712" s="297" t="str">
        <f>IF(OR(G712="",G712="toute race"),"",VLOOKUP(G712,'Types de monstres'!$F$2:$G$49,2,FALSE))</f>
        <v>METAMORPH</v>
      </c>
      <c r="I712" s="297" t="s">
        <v>4112</v>
      </c>
      <c r="J712" s="302">
        <v>16</v>
      </c>
      <c r="K712" s="302">
        <v>127</v>
      </c>
      <c r="L712" s="297"/>
      <c r="M712" s="297" t="s">
        <v>4243</v>
      </c>
      <c r="N712" s="297" t="str">
        <f>IF(M712="sans alignement","",IF(M712="tout alignement", """1_LB"", ""2_NB"", ""3_CB"", ""4_LN"", ""5_NN"", ""6_CN"", ""7_LM"", ""8_NM"", ""9_CM""",IF(M712="tout alignement non bon", """4_LN"", ""5_NN"", ""6_CN"", ""7_LM"", ""8_NM"", ""9_CM""",IF(M712="tout alignement mauvais", """7_LM"", ""8_NM"", ""9_CM""",IF(M712="tout alignement chaotique", """3_CB"", ""6_CN"", ""9_CM""",IF(M712="tout alignement non loyal", """2_NB"", ""3_CB"", ""5_NN"", ""6_CN"", ""8_NM"", ""9_CM""",""""&amp;VLOOKUP(M712,Alignements!$A$2:$B$10,2, FALSE)&amp;""""))))))</f>
        <v>"6_CN"</v>
      </c>
      <c r="O712" s="297"/>
      <c r="P712" t="str">
        <f t="shared" si="35"/>
        <v>"Slaad vert": {
  "Name" : "Slaad vert",
  "VO" : "Green Slaad",
  "Family" : "ABERRATION",
  "Species" : ["METAMORPH"],
  "FP" : "8", 
  "Size" : "G",
  "AC" : 16,
  "HP" : 127, 
  "Speed" : "",
  "Alignments" : ["6_CN"],
  "Legendary" : ""}</v>
      </c>
    </row>
    <row r="713" spans="1:16">
      <c r="A713" s="61" t="s">
        <v>5423</v>
      </c>
      <c r="B713" s="298" t="s">
        <v>5424</v>
      </c>
      <c r="C713" s="306" t="s">
        <v>5619</v>
      </c>
      <c r="D713" s="298" t="s">
        <v>4111</v>
      </c>
      <c r="E713" s="297" t="str">
        <f t="shared" si="33"/>
        <v>Aberration</v>
      </c>
      <c r="F713" s="297" t="str">
        <f>VLOOKUP(E713,'Types de monstres'!$A$2:$B$17,2,FALSE)</f>
        <v>ABERRATION</v>
      </c>
      <c r="G713" s="297" t="str">
        <f t="shared" si="34"/>
        <v/>
      </c>
      <c r="H713" s="297" t="str">
        <f>IF(OR(G713="",G713="toute race"),"",VLOOKUP(G713,'Types de monstres'!$F$2:$G$49,2,FALSE))</f>
        <v/>
      </c>
      <c r="I713" s="298" t="s">
        <v>4154</v>
      </c>
      <c r="J713" s="300">
        <v>12</v>
      </c>
      <c r="K713" s="300">
        <v>10</v>
      </c>
      <c r="L713" s="298"/>
      <c r="M713" s="298" t="s">
        <v>4243</v>
      </c>
      <c r="N713" s="297" t="str">
        <f>IF(M713="sans alignement","",IF(M713="tout alignement", """1_LB"", ""2_NB"", ""3_CB"", ""4_LN"", ""5_NN"", ""6_CN"", ""7_LM"", ""8_NM"", ""9_CM""",IF(M713="tout alignement non bon", """4_LN"", ""5_NN"", ""6_CN"", ""7_LM"", ""8_NM"", ""9_CM""",IF(M713="tout alignement mauvais", """7_LM"", ""8_NM"", ""9_CM""",IF(M713="tout alignement chaotique", """3_CB"", ""6_CN"", ""9_CM""",IF(M713="tout alignement non loyal", """2_NB"", ""3_CB"", ""5_NN"", ""6_CN"", ""8_NM"", ""9_CM""",""""&amp;VLOOKUP(M713,Alignements!$A$2:$B$10,2, FALSE)&amp;""""))))))</f>
        <v>"6_CN"</v>
      </c>
      <c r="O713" s="298"/>
      <c r="P713" t="str">
        <f t="shared" si="35"/>
        <v>"Slaad, têtard": {
  "Name" : "Slaad, têtard",
  "VO" : "Slaad Tadpole",
  "Family" : "ABERRATION",
  "Species" : [""],
  "FP" : "1/8", 
  "Size" : "TP",
  "AC" : 12,
  "HP" : 10, 
  "Speed" : "",
  "Alignments" : ["6_CN"],
  "Legendary" : ""}</v>
      </c>
    </row>
    <row r="714" spans="1:16">
      <c r="A714" s="61" t="s">
        <v>5425</v>
      </c>
      <c r="B714" s="297" t="s">
        <v>5425</v>
      </c>
      <c r="C714" s="305">
        <v>21</v>
      </c>
      <c r="D714" s="297" t="s">
        <v>2598</v>
      </c>
      <c r="E714" s="297" t="str">
        <f t="shared" si="33"/>
        <v>Céleste</v>
      </c>
      <c r="F714" s="297" t="str">
        <f>VLOOKUP(E714,'Types de monstres'!$A$2:$B$17,2,FALSE)</f>
        <v>CELESTIAL</v>
      </c>
      <c r="G714" s="297" t="str">
        <f t="shared" si="34"/>
        <v/>
      </c>
      <c r="H714" s="297" t="str">
        <f>IF(OR(G714="",G714="toute race"),"",VLOOKUP(G714,'Types de monstres'!$F$2:$G$49,2,FALSE))</f>
        <v/>
      </c>
      <c r="I714" s="297" t="s">
        <v>4112</v>
      </c>
      <c r="J714" s="302">
        <v>21</v>
      </c>
      <c r="K714" s="302">
        <v>243</v>
      </c>
      <c r="L714" s="297" t="s">
        <v>4092</v>
      </c>
      <c r="M714" s="297" t="s">
        <v>4318</v>
      </c>
      <c r="N714" s="297" t="str">
        <f>IF(M714="sans alignement","",IF(M714="tout alignement", """1_LB"", ""2_NB"", ""3_CB"", ""4_LN"", ""5_NN"", ""6_CN"", ""7_LM"", ""8_NM"", ""9_CM""",IF(M714="tout alignement non bon", """4_LN"", ""5_NN"", ""6_CN"", ""7_LM"", ""8_NM"", ""9_CM""",IF(M714="tout alignement mauvais", """7_LM"", ""8_NM"", ""9_CM""",IF(M714="tout alignement chaotique", """3_CB"", ""6_CN"", ""9_CM""",IF(M714="tout alignement non loyal", """2_NB"", ""3_CB"", ""5_NN"", ""6_CN"", ""8_NM"", ""9_CM""",""""&amp;VLOOKUP(M714,Alignements!$A$2:$B$10,2, FALSE)&amp;""""))))))</f>
        <v>"1_LB"</v>
      </c>
      <c r="O714" s="297" t="s">
        <v>4114</v>
      </c>
      <c r="P714" t="str">
        <f t="shared" si="35"/>
        <v>"Solar": {
  "Name" : "Solar",
  "VO" : "Solar",
  "Family" : "CELESTIAL",
  "Species" : [""],
  "FP" : "21", 
  "Size" : "G",
  "AC" : 21,
  "HP" : 243, 
  "Speed" : "vol",
  "Alignments" : ["1_LB"],
  "Legendary" : "Légendaire"}</v>
      </c>
    </row>
    <row r="715" spans="1:16" ht="21">
      <c r="A715" s="299" t="s">
        <v>5426</v>
      </c>
      <c r="B715" s="298" t="s">
        <v>5427</v>
      </c>
      <c r="C715" s="306">
        <v>3</v>
      </c>
      <c r="D715" s="298" t="s">
        <v>4117</v>
      </c>
      <c r="E715" s="297" t="str">
        <f t="shared" si="33"/>
        <v>Mort-vivant</v>
      </c>
      <c r="F715" s="297" t="str">
        <f>VLOOKUP(E715,'Types de monstres'!$A$2:$B$17,2,FALSE)</f>
        <v>UNDEAD</v>
      </c>
      <c r="G715" s="297" t="str">
        <f t="shared" si="34"/>
        <v/>
      </c>
      <c r="H715" s="297" t="str">
        <f>IF(OR(G715="",G715="toute race"),"",VLOOKUP(G715,'Types de monstres'!$F$2:$G$49,2,FALSE))</f>
        <v/>
      </c>
      <c r="I715" s="298" t="s">
        <v>4091</v>
      </c>
      <c r="J715" s="300">
        <v>17</v>
      </c>
      <c r="K715" s="300">
        <v>52</v>
      </c>
      <c r="L715" s="298"/>
      <c r="M715" s="298" t="s">
        <v>4097</v>
      </c>
      <c r="N715" s="297" t="str">
        <f>IF(M715="sans alignement","",IF(M715="tout alignement", """1_LB"", ""2_NB"", ""3_CB"", ""4_LN"", ""5_NN"", ""6_CN"", ""7_LM"", ""8_NM"", ""9_CM""",IF(M715="tout alignement non bon", """4_LN"", ""5_NN"", ""6_CN"", ""7_LM"", ""8_NM"", ""9_CM""",IF(M715="tout alignement mauvais", """7_LM"", ""8_NM"", ""9_CM""",IF(M715="tout alignement chaotique", """3_CB"", ""6_CN"", ""9_CM""",IF(M715="tout alignement non loyal", """2_NB"", ""3_CB"", ""5_NN"", ""6_CN"", ""8_NM"", ""9_CM""",""""&amp;VLOOKUP(M715,Alignements!$A$2:$B$10,2, FALSE)&amp;""""))))))</f>
        <v>"7_LM"</v>
      </c>
      <c r="O715" s="298"/>
      <c r="P715" t="str">
        <f t="shared" si="35"/>
        <v>"Soldat karrnathien mort-vivant": {
  "Name" : "Soldat karrnathien mort-vivant",
  "VO" : "Karrnathi Undead Soldier",
  "Family" : "UNDEAD",
  "Species" : [""],
  "FP" : "3", 
  "Size" : "M",
  "AC" : 17,
  "HP" : 52, 
  "Speed" : "",
  "Alignments" : ["7_LM"],
  "Legendary" : ""}</v>
      </c>
    </row>
    <row r="716" spans="1:16">
      <c r="A716" s="301" t="s">
        <v>5428</v>
      </c>
      <c r="B716" s="297" t="s">
        <v>5429</v>
      </c>
      <c r="C716" s="305">
        <v>2</v>
      </c>
      <c r="D716" s="297" t="s">
        <v>4117</v>
      </c>
      <c r="E716" s="297" t="str">
        <f t="shared" si="33"/>
        <v>Mort-vivant</v>
      </c>
      <c r="F716" s="297" t="str">
        <f>VLOOKUP(E716,'Types de monstres'!$A$2:$B$17,2,FALSE)</f>
        <v>UNDEAD</v>
      </c>
      <c r="G716" s="297" t="str">
        <f t="shared" si="34"/>
        <v/>
      </c>
      <c r="H716" s="297" t="str">
        <f>IF(OR(G716="",G716="toute race"),"",VLOOKUP(G716,'Types de monstres'!$F$2:$G$49,2,FALSE))</f>
        <v/>
      </c>
      <c r="I716" s="297" t="s">
        <v>4091</v>
      </c>
      <c r="J716" s="302">
        <v>17</v>
      </c>
      <c r="K716" s="302">
        <v>26</v>
      </c>
      <c r="L716" s="297"/>
      <c r="M716" s="297" t="s">
        <v>4093</v>
      </c>
      <c r="N716" s="297" t="str">
        <f>IF(M716="sans alignement","",IF(M716="tout alignement", """1_LB"", ""2_NB"", ""3_CB"", ""4_LN"", ""5_NN"", ""6_CN"", ""7_LM"", ""8_NM"", ""9_CM""",IF(M716="tout alignement non bon", """4_LN"", ""5_NN"", ""6_CN"", ""7_LM"", ""8_NM"", ""9_CM""",IF(M716="tout alignement mauvais", """7_LM"", ""8_NM"", ""9_CM""",IF(M716="tout alignement chaotique", """3_CB"", ""6_CN"", ""9_CM""",IF(M716="tout alignement non loyal", """2_NB"", ""3_CB"", ""5_NN"", ""6_CN"", ""8_NM"", ""9_CM""",""""&amp;VLOOKUP(M716,Alignements!$A$2:$B$10,2, FALSE)&amp;""""))))))</f>
        <v>"2_NB"</v>
      </c>
      <c r="O716" s="297"/>
      <c r="P716" t="str">
        <f t="shared" si="35"/>
        <v>"Soldat outre-mort": {
  "Name" : "Soldat outre-mort",
  "VO" : "Undying Soldier",
  "Family" : "UNDEAD",
  "Species" : [""],
  "FP" : "2", 
  "Size" : "M",
  "AC" : 17,
  "HP" : 26, 
  "Speed" : "",
  "Alignments" : ["2_NB"],
  "Legendary" : ""}</v>
      </c>
    </row>
    <row r="717" spans="1:16">
      <c r="A717" s="61" t="s">
        <v>5430</v>
      </c>
      <c r="B717" s="298" t="s">
        <v>5431</v>
      </c>
      <c r="C717" s="306" t="s">
        <v>5620</v>
      </c>
      <c r="D717" s="298" t="s">
        <v>4253</v>
      </c>
      <c r="E717" s="297" t="str">
        <f t="shared" si="33"/>
        <v>Fée</v>
      </c>
      <c r="F717" s="297" t="str">
        <f>VLOOKUP(E717,'Types de monstres'!$A$2:$B$17,2,FALSE)</f>
        <v>FAIRY</v>
      </c>
      <c r="G717" s="297" t="str">
        <f t="shared" si="34"/>
        <v/>
      </c>
      <c r="H717" s="297" t="str">
        <f>IF(OR(G717="",G717="toute race"),"",VLOOKUP(G717,'Types de monstres'!$F$2:$G$49,2,FALSE))</f>
        <v/>
      </c>
      <c r="I717" s="298" t="s">
        <v>4129</v>
      </c>
      <c r="J717" s="300">
        <v>14</v>
      </c>
      <c r="K717" s="300">
        <v>13</v>
      </c>
      <c r="L717" s="298"/>
      <c r="M717" s="298" t="s">
        <v>4243</v>
      </c>
      <c r="N717" s="297" t="str">
        <f>IF(M717="sans alignement","",IF(M717="tout alignement", """1_LB"", ""2_NB"", ""3_CB"", ""4_LN"", ""5_NN"", ""6_CN"", ""7_LM"", ""8_NM"", ""9_CM""",IF(M717="tout alignement non bon", """4_LN"", ""5_NN"", ""6_CN"", ""7_LM"", ""8_NM"", ""9_CM""",IF(M717="tout alignement mauvais", """7_LM"", ""8_NM"", ""9_CM""",IF(M717="tout alignement chaotique", """3_CB"", ""6_CN"", ""9_CM""",IF(M717="tout alignement non loyal", """2_NB"", ""3_CB"", ""5_NN"", ""6_CN"", ""8_NM"", ""9_CM""",""""&amp;VLOOKUP(M717,Alignements!$A$2:$B$10,2, FALSE)&amp;""""))))))</f>
        <v>"6_CN"</v>
      </c>
      <c r="O717" s="298"/>
      <c r="P717" t="str">
        <f t="shared" si="35"/>
        <v>"Sombrelin": {
  "Name" : "Sombrelin",
  "VO" : "Darkling",
  "Family" : "FAIRY",
  "Species" : [""],
  "FP" : "1/2", 
  "Size" : "P",
  "AC" : 14,
  "HP" : 13, 
  "Speed" : "",
  "Alignments" : ["6_CN"],
  "Legendary" : ""}</v>
      </c>
    </row>
    <row r="718" spans="1:16">
      <c r="A718" s="61" t="s">
        <v>5432</v>
      </c>
      <c r="B718" s="297" t="s">
        <v>5433</v>
      </c>
      <c r="C718" s="305">
        <v>2</v>
      </c>
      <c r="D718" s="297" t="s">
        <v>4253</v>
      </c>
      <c r="E718" s="297" t="str">
        <f t="shared" si="33"/>
        <v>Fée</v>
      </c>
      <c r="F718" s="297" t="str">
        <f>VLOOKUP(E718,'Types de monstres'!$A$2:$B$17,2,FALSE)</f>
        <v>FAIRY</v>
      </c>
      <c r="G718" s="297" t="str">
        <f t="shared" si="34"/>
        <v/>
      </c>
      <c r="H718" s="297" t="str">
        <f>IF(OR(G718="",G718="toute race"),"",VLOOKUP(G718,'Types de monstres'!$F$2:$G$49,2,FALSE))</f>
        <v/>
      </c>
      <c r="I718" s="297" t="s">
        <v>4091</v>
      </c>
      <c r="J718" s="302">
        <v>15</v>
      </c>
      <c r="K718" s="302">
        <v>27</v>
      </c>
      <c r="L718" s="297"/>
      <c r="M718" s="297" t="s">
        <v>4243</v>
      </c>
      <c r="N718" s="297" t="str">
        <f>IF(M718="sans alignement","",IF(M718="tout alignement", """1_LB"", ""2_NB"", ""3_CB"", ""4_LN"", ""5_NN"", ""6_CN"", ""7_LM"", ""8_NM"", ""9_CM""",IF(M718="tout alignement non bon", """4_LN"", ""5_NN"", ""6_CN"", ""7_LM"", ""8_NM"", ""9_CM""",IF(M718="tout alignement mauvais", """7_LM"", ""8_NM"", ""9_CM""",IF(M718="tout alignement chaotique", """3_CB"", ""6_CN"", ""9_CM""",IF(M718="tout alignement non loyal", """2_NB"", ""3_CB"", ""5_NN"", ""6_CN"", ""8_NM"", ""9_CM""",""""&amp;VLOOKUP(M718,Alignements!$A$2:$B$10,2, FALSE)&amp;""""))))))</f>
        <v>"6_CN"</v>
      </c>
      <c r="O718" s="297"/>
      <c r="P718" t="str">
        <f t="shared" si="35"/>
        <v>"Sombrelin, aîné": {
  "Name" : "Sombrelin, aîné",
  "VO" : "Darkling Elder",
  "Family" : "FAIRY",
  "Species" : [""],
  "FP" : "2", 
  "Size" : "M",
  "AC" : 15,
  "HP" : 27, 
  "Speed" : "",
  "Alignments" : ["6_CN"],
  "Legendary" : ""}</v>
      </c>
    </row>
    <row r="719" spans="1:16">
      <c r="A719" s="299" t="s">
        <v>5434</v>
      </c>
      <c r="B719" s="298" t="s">
        <v>5435</v>
      </c>
      <c r="C719" s="306">
        <v>4</v>
      </c>
      <c r="D719" s="298" t="s">
        <v>4117</v>
      </c>
      <c r="E719" s="297" t="str">
        <f t="shared" si="33"/>
        <v>Mort-vivant</v>
      </c>
      <c r="F719" s="297" t="str">
        <f>VLOOKUP(E719,'Types de monstres'!$A$2:$B$17,2,FALSE)</f>
        <v>UNDEAD</v>
      </c>
      <c r="G719" s="297" t="str">
        <f t="shared" si="34"/>
        <v/>
      </c>
      <c r="H719" s="297" t="str">
        <f>IF(OR(G719="",G719="toute race"),"",VLOOKUP(G719,'Types de monstres'!$F$2:$G$49,2,FALSE))</f>
        <v/>
      </c>
      <c r="I719" s="298" t="s">
        <v>4091</v>
      </c>
      <c r="J719" s="300">
        <v>12</v>
      </c>
      <c r="K719" s="300">
        <v>36</v>
      </c>
      <c r="L719" s="298"/>
      <c r="M719" s="298" t="s">
        <v>4118</v>
      </c>
      <c r="N719" s="297" t="str">
        <f>IF(M719="sans alignement","",IF(M719="tout alignement", """1_LB"", ""2_NB"", ""3_CB"", ""4_LN"", ""5_NN"", ""6_CN"", ""7_LM"", ""8_NM"", ""9_CM""",IF(M719="tout alignement non bon", """4_LN"", ""5_NN"", ""6_CN"", ""7_LM"", ""8_NM"", ""9_CM""",IF(M719="tout alignement mauvais", """7_LM"", ""8_NM"", ""9_CM""",IF(M719="tout alignement chaotique", """3_CB"", ""6_CN"", ""9_CM""",IF(M719="tout alignement non loyal", """2_NB"", ""3_CB"", ""5_NN"", ""6_CN"", ""8_NM"", ""9_CM""",""""&amp;VLOOKUP(M719,Alignements!$A$2:$B$10,2, FALSE)&amp;""""))))))</f>
        <v>"8_NM"</v>
      </c>
      <c r="O719" s="298"/>
      <c r="P719" t="str">
        <f t="shared" si="35"/>
        <v>"Sorcemort": {
  "Name" : "Sorcemort",
  "VO" : "Deathlock",
  "Family" : "UNDEAD",
  "Species" : [""],
  "FP" : "4", 
  "Size" : "M",
  "AC" : 12,
  "HP" : 36, 
  "Speed" : "",
  "Alignments" : ["8_NM"],
  "Legendary" : ""}</v>
      </c>
    </row>
    <row r="720" spans="1:16" ht="21">
      <c r="A720" s="301" t="s">
        <v>5436</v>
      </c>
      <c r="B720" s="297" t="s">
        <v>5437</v>
      </c>
      <c r="C720" s="305">
        <v>8</v>
      </c>
      <c r="D720" s="297" t="s">
        <v>4117</v>
      </c>
      <c r="E720" s="297" t="str">
        <f t="shared" si="33"/>
        <v>Mort-vivant</v>
      </c>
      <c r="F720" s="297" t="str">
        <f>VLOOKUP(E720,'Types de monstres'!$A$2:$B$17,2,FALSE)</f>
        <v>UNDEAD</v>
      </c>
      <c r="G720" s="297" t="str">
        <f t="shared" si="34"/>
        <v/>
      </c>
      <c r="H720" s="297" t="str">
        <f>IF(OR(G720="",G720="toute race"),"",VLOOKUP(G720,'Types de monstres'!$F$2:$G$49,2,FALSE))</f>
        <v/>
      </c>
      <c r="I720" s="297" t="s">
        <v>4091</v>
      </c>
      <c r="J720" s="302">
        <v>13</v>
      </c>
      <c r="K720" s="302">
        <v>110</v>
      </c>
      <c r="L720" s="297"/>
      <c r="M720" s="297" t="s">
        <v>4118</v>
      </c>
      <c r="N720" s="297" t="str">
        <f>IF(M720="sans alignement","",IF(M720="tout alignement", """1_LB"", ""2_NB"", ""3_CB"", ""4_LN"", ""5_NN"", ""6_CN"", ""7_LM"", ""8_NM"", ""9_CM""",IF(M720="tout alignement non bon", """4_LN"", ""5_NN"", ""6_CN"", ""7_LM"", ""8_NM"", ""9_CM""",IF(M720="tout alignement mauvais", """7_LM"", ""8_NM"", ""9_CM""",IF(M720="tout alignement chaotique", """3_CB"", ""6_CN"", ""9_CM""",IF(M720="tout alignement non loyal", """2_NB"", ""3_CB"", ""5_NN"", ""6_CN"", ""8_NM"", ""9_CM""",""""&amp;VLOOKUP(M720,Alignements!$A$2:$B$10,2, FALSE)&amp;""""))))))</f>
        <v>"8_NM"</v>
      </c>
      <c r="O720" s="297"/>
      <c r="P720" t="str">
        <f t="shared" si="35"/>
        <v>"Sorcemort, conspirateur": {
  "Name" : "Sorcemort, conspirateur",
  "VO" : "Deathlock Mastermind",
  "Family" : "UNDEAD",
  "Species" : [""],
  "FP" : "8", 
  "Size" : "M",
  "AC" : 13,
  "HP" : 110, 
  "Speed" : "",
  "Alignments" : ["8_NM"],
  "Legendary" : ""}</v>
      </c>
    </row>
    <row r="721" spans="1:16" ht="21">
      <c r="A721" s="299" t="s">
        <v>5438</v>
      </c>
      <c r="B721" s="298" t="s">
        <v>5439</v>
      </c>
      <c r="C721" s="306">
        <v>3</v>
      </c>
      <c r="D721" s="298" t="s">
        <v>4117</v>
      </c>
      <c r="E721" s="297" t="str">
        <f t="shared" si="33"/>
        <v>Mort-vivant</v>
      </c>
      <c r="F721" s="297" t="str">
        <f>VLOOKUP(E721,'Types de monstres'!$A$2:$B$17,2,FALSE)</f>
        <v>UNDEAD</v>
      </c>
      <c r="G721" s="297" t="str">
        <f t="shared" si="34"/>
        <v/>
      </c>
      <c r="H721" s="297" t="str">
        <f>IF(OR(G721="",G721="toute race"),"",VLOOKUP(G721,'Types de monstres'!$F$2:$G$49,2,FALSE))</f>
        <v/>
      </c>
      <c r="I721" s="298" t="s">
        <v>4091</v>
      </c>
      <c r="J721" s="300">
        <v>12</v>
      </c>
      <c r="K721" s="300">
        <v>37</v>
      </c>
      <c r="L721" s="298"/>
      <c r="M721" s="298" t="s">
        <v>4118</v>
      </c>
      <c r="N721" s="297" t="str">
        <f>IF(M721="sans alignement","",IF(M721="tout alignement", """1_LB"", ""2_NB"", ""3_CB"", ""4_LN"", ""5_NN"", ""6_CN"", ""7_LM"", ""8_NM"", ""9_CM""",IF(M721="tout alignement non bon", """4_LN"", ""5_NN"", ""6_CN"", ""7_LM"", ""8_NM"", ""9_CM""",IF(M721="tout alignement mauvais", """7_LM"", ""8_NM"", ""9_CM""",IF(M721="tout alignement chaotique", """3_CB"", ""6_CN"", ""9_CM""",IF(M721="tout alignement non loyal", """2_NB"", ""3_CB"", ""5_NN"", ""6_CN"", ""8_NM"", ""9_CM""",""""&amp;VLOOKUP(M721,Alignements!$A$2:$B$10,2, FALSE)&amp;""""))))))</f>
        <v>"8_NM"</v>
      </c>
      <c r="O721" s="298"/>
      <c r="P721" t="str">
        <f t="shared" si="35"/>
        <v>"Sorcemort, nécrophage": {
  "Name" : "Sorcemort, nécrophage",
  "VO" : "Deathlock Wight",
  "Family" : "UNDEAD",
  "Species" : [""],
  "FP" : "3", 
  "Size" : "M",
  "AC" : 12,
  "HP" : 37, 
  "Speed" : "",
  "Alignments" : ["8_NM"],
  "Legendary" : ""}</v>
      </c>
    </row>
    <row r="722" spans="1:16" ht="21">
      <c r="A722" s="61" t="s">
        <v>5440</v>
      </c>
      <c r="B722" s="297" t="s">
        <v>5441</v>
      </c>
      <c r="C722" s="305">
        <v>4</v>
      </c>
      <c r="D722" s="297" t="s">
        <v>4108</v>
      </c>
      <c r="E722" s="297" t="str">
        <f t="shared" si="33"/>
        <v>Humanoïde</v>
      </c>
      <c r="F722" s="297" t="str">
        <f>VLOOKUP(E722,'Types de monstres'!$A$2:$B$17,2,FALSE)</f>
        <v>HUMANOID</v>
      </c>
      <c r="G722" s="297" t="str">
        <f t="shared" si="34"/>
        <v>toute race</v>
      </c>
      <c r="H722" s="297" t="str">
        <f>IF(OR(G722="",G722="toute race"),"",VLOOKUP(G722,'Types de monstres'!$F$2:$G$49,2,FALSE))</f>
        <v/>
      </c>
      <c r="I722" s="297" t="s">
        <v>4091</v>
      </c>
      <c r="J722" s="302">
        <v>11</v>
      </c>
      <c r="K722" s="302">
        <v>49</v>
      </c>
      <c r="L722" s="297"/>
      <c r="M722" s="297" t="s">
        <v>4109</v>
      </c>
      <c r="N722" s="297" t="str">
        <f>IF(M722="sans alignement","",IF(M722="tout alignement", """1_LB"", ""2_NB"", ""3_CB"", ""4_LN"", ""5_NN"", ""6_CN"", ""7_LM"", ""8_NM"", ""9_CM""",IF(M722="tout alignement non bon", """4_LN"", ""5_NN"", ""6_CN"", ""7_LM"", ""8_NM"", ""9_CM""",IF(M722="tout alignement mauvais", """7_LM"", ""8_NM"", ""9_CM""",IF(M722="tout alignement chaotique", """3_CB"", ""6_CN"", ""9_CM""",IF(M722="tout alignement non loyal", """2_NB"", ""3_CB"", ""5_NN"", ""6_CN"", ""8_NM"", ""9_CM""",""""&amp;VLOOKUP(M722,Alignements!$A$2:$B$10,2, FALSE)&amp;""""))))))</f>
        <v>"1_LB", "2_NB", "3_CB", "4_LN", "5_NN", "6_CN", "7_LM", "8_NM", "9_CM"</v>
      </c>
      <c r="O722" s="297"/>
      <c r="P722" t="str">
        <f t="shared" si="35"/>
        <v>"Sorcier d'archifée": {
  "Name" : "Sorcier d'archifée",
  "VO" : "Warlock of the Archfey",
  "Family" : "HUMANOID",
  "Species" : [""],
  "FP" : "4", 
  "Size" : "M",
  "AC" : 11,
  "HP" : 49, 
  "Speed" : "",
  "Alignments" : ["1_LB", "2_NB", "3_CB", "4_LN", "5_NN", "6_CN", "7_LM", "8_NM", "9_CM"],
  "Legendary" : ""}</v>
      </c>
    </row>
    <row r="723" spans="1:16" ht="21">
      <c r="A723" s="61" t="s">
        <v>5442</v>
      </c>
      <c r="B723" s="298" t="s">
        <v>5443</v>
      </c>
      <c r="C723" s="306">
        <v>7</v>
      </c>
      <c r="D723" s="298" t="s">
        <v>4108</v>
      </c>
      <c r="E723" s="297" t="str">
        <f t="shared" si="33"/>
        <v>Humanoïde</v>
      </c>
      <c r="F723" s="297" t="str">
        <f>VLOOKUP(E723,'Types de monstres'!$A$2:$B$17,2,FALSE)</f>
        <v>HUMANOID</v>
      </c>
      <c r="G723" s="297" t="str">
        <f t="shared" si="34"/>
        <v>toute race</v>
      </c>
      <c r="H723" s="297" t="str">
        <f>IF(OR(G723="",G723="toute race"),"",VLOOKUP(G723,'Types de monstres'!$F$2:$G$49,2,FALSE))</f>
        <v/>
      </c>
      <c r="I723" s="298" t="s">
        <v>4091</v>
      </c>
      <c r="J723" s="300">
        <v>12</v>
      </c>
      <c r="K723" s="300">
        <v>78</v>
      </c>
      <c r="L723" s="298"/>
      <c r="M723" s="298" t="s">
        <v>4109</v>
      </c>
      <c r="N723" s="297" t="str">
        <f>IF(M723="sans alignement","",IF(M723="tout alignement", """1_LB"", ""2_NB"", ""3_CB"", ""4_LN"", ""5_NN"", ""6_CN"", ""7_LM"", ""8_NM"", ""9_CM""",IF(M723="tout alignement non bon", """4_LN"", ""5_NN"", ""6_CN"", ""7_LM"", ""8_NM"", ""9_CM""",IF(M723="tout alignement mauvais", """7_LM"", ""8_NM"", ""9_CM""",IF(M723="tout alignement chaotique", """3_CB"", ""6_CN"", ""9_CM""",IF(M723="tout alignement non loyal", """2_NB"", ""3_CB"", ""5_NN"", ""6_CN"", ""8_NM"", ""9_CM""",""""&amp;VLOOKUP(M723,Alignements!$A$2:$B$10,2, FALSE)&amp;""""))))))</f>
        <v>"1_LB", "2_NB", "3_CB", "4_LN", "5_NN", "6_CN", "7_LM", "8_NM", "9_CM"</v>
      </c>
      <c r="O723" s="298"/>
      <c r="P723" t="str">
        <f t="shared" si="35"/>
        <v>"Sorcier de fiélon": {
  "Name" : "Sorcier de fiélon",
  "VO" : "Warlock of the fiend",
  "Family" : "HUMANOID",
  "Species" : [""],
  "FP" : "7", 
  "Size" : "M",
  "AC" : 12,
  "HP" : 78, 
  "Speed" : "",
  "Alignments" : ["1_LB", "2_NB", "3_CB", "4_LN", "5_NN", "6_CN", "7_LM", "8_NM", "9_CM"],
  "Legendary" : ""}</v>
      </c>
    </row>
    <row r="724" spans="1:16" ht="21">
      <c r="A724" s="61" t="s">
        <v>5444</v>
      </c>
      <c r="B724" s="297" t="s">
        <v>5445</v>
      </c>
      <c r="C724" s="305">
        <v>6</v>
      </c>
      <c r="D724" s="297" t="s">
        <v>4108</v>
      </c>
      <c r="E724" s="297" t="str">
        <f t="shared" si="33"/>
        <v>Humanoïde</v>
      </c>
      <c r="F724" s="297" t="str">
        <f>VLOOKUP(E724,'Types de monstres'!$A$2:$B$17,2,FALSE)</f>
        <v>HUMANOID</v>
      </c>
      <c r="G724" s="297" t="str">
        <f t="shared" si="34"/>
        <v>toute race</v>
      </c>
      <c r="H724" s="297" t="str">
        <f>IF(OR(G724="",G724="toute race"),"",VLOOKUP(G724,'Types de monstres'!$F$2:$G$49,2,FALSE))</f>
        <v/>
      </c>
      <c r="I724" s="297" t="s">
        <v>4091</v>
      </c>
      <c r="J724" s="302">
        <v>12</v>
      </c>
      <c r="K724" s="302">
        <v>91</v>
      </c>
      <c r="L724" s="297"/>
      <c r="M724" s="297" t="s">
        <v>4109</v>
      </c>
      <c r="N724" s="297" t="str">
        <f>IF(M724="sans alignement","",IF(M724="tout alignement", """1_LB"", ""2_NB"", ""3_CB"", ""4_LN"", ""5_NN"", ""6_CN"", ""7_LM"", ""8_NM"", ""9_CM""",IF(M724="tout alignement non bon", """4_LN"", ""5_NN"", ""6_CN"", ""7_LM"", ""8_NM"", ""9_CM""",IF(M724="tout alignement mauvais", """7_LM"", ""8_NM"", ""9_CM""",IF(M724="tout alignement chaotique", """3_CB"", ""6_CN"", ""9_CM""",IF(M724="tout alignement non loyal", """2_NB"", ""3_CB"", ""5_NN"", ""6_CN"", ""8_NM"", ""9_CM""",""""&amp;VLOOKUP(M724,Alignements!$A$2:$B$10,2, FALSE)&amp;""""))))))</f>
        <v>"1_LB", "2_NB", "3_CB", "4_LN", "5_NN", "6_CN", "7_LM", "8_NM", "9_CM"</v>
      </c>
      <c r="O724" s="297"/>
      <c r="P724" t="str">
        <f t="shared" si="35"/>
        <v>"Sorcier de Grand Ancien": {
  "Name" : "Sorcier de Grand Ancien",
  "VO" : "Warlock of the Great Old One",
  "Family" : "HUMANOID",
  "Species" : [""],
  "FP" : "6", 
  "Size" : "M",
  "AC" : 12,
  "HP" : 91, 
  "Speed" : "",
  "Alignments" : ["1_LB", "2_NB", "3_CB", "4_LN", "5_NN", "6_CN", "7_LM", "8_NM", "9_CM"],
  "Legendary" : ""}</v>
      </c>
    </row>
    <row r="725" spans="1:16">
      <c r="A725" s="61" t="s">
        <v>5446</v>
      </c>
      <c r="B725" s="298" t="s">
        <v>5447</v>
      </c>
      <c r="C725" s="306">
        <v>3</v>
      </c>
      <c r="D725" s="298" t="s">
        <v>4111</v>
      </c>
      <c r="E725" s="297" t="str">
        <f t="shared" si="33"/>
        <v>Aberration</v>
      </c>
      <c r="F725" s="297" t="str">
        <f>VLOOKUP(E725,'Types de monstres'!$A$2:$B$17,2,FALSE)</f>
        <v>ABERRATION</v>
      </c>
      <c r="G725" s="297" t="str">
        <f t="shared" si="34"/>
        <v/>
      </c>
      <c r="H725" s="297" t="str">
        <f>IF(OR(G725="",G725="toute race"),"",VLOOKUP(G725,'Types de monstres'!$F$2:$G$49,2,FALSE))</f>
        <v/>
      </c>
      <c r="I725" s="298" t="s">
        <v>4091</v>
      </c>
      <c r="J725" s="300">
        <v>14</v>
      </c>
      <c r="K725" s="300">
        <v>39</v>
      </c>
      <c r="L725" s="298" t="s">
        <v>4092</v>
      </c>
      <c r="M725" s="298" t="s">
        <v>4145</v>
      </c>
      <c r="N725" s="297" t="str">
        <f>IF(M725="sans alignement","",IF(M725="tout alignement", """1_LB"", ""2_NB"", ""3_CB"", ""4_LN"", ""5_NN"", ""6_CN"", ""7_LM"", ""8_NM"", ""9_CM""",IF(M725="tout alignement non bon", """4_LN"", ""5_NN"", ""6_CN"", ""7_LM"", ""8_NM"", ""9_CM""",IF(M725="tout alignement mauvais", """7_LM"", ""8_NM"", ""9_CM""",IF(M725="tout alignement chaotique", """3_CB"", ""6_CN"", ""9_CM""",IF(M725="tout alignement non loyal", """2_NB"", ""3_CB"", ""5_NN"", ""6_CN"", ""8_NM"", ""9_CM""",""""&amp;VLOOKUP(M725,Alignements!$A$2:$B$10,2, FALSE)&amp;""""))))))</f>
        <v>"4_LN"</v>
      </c>
      <c r="O725" s="298"/>
      <c r="P725" t="str">
        <f t="shared" si="35"/>
        <v>"Spectateur": {
  "Name" : "Spectateur",
  "VO" : "Spectator",
  "Family" : "ABERRATION",
  "Species" : [""],
  "FP" : "3", 
  "Size" : "M",
  "AC" : 14,
  "HP" : 39, 
  "Speed" : "vol",
  "Alignments" : ["4_LN"],
  "Legendary" : ""}</v>
      </c>
    </row>
    <row r="726" spans="1:16">
      <c r="A726" s="61" t="s">
        <v>5448</v>
      </c>
      <c r="B726" s="297" t="s">
        <v>5449</v>
      </c>
      <c r="C726" s="305">
        <v>1</v>
      </c>
      <c r="D726" s="297" t="s">
        <v>4117</v>
      </c>
      <c r="E726" s="297" t="str">
        <f t="shared" si="33"/>
        <v>Mort-vivant</v>
      </c>
      <c r="F726" s="297" t="str">
        <f>VLOOKUP(E726,'Types de monstres'!$A$2:$B$17,2,FALSE)</f>
        <v>UNDEAD</v>
      </c>
      <c r="G726" s="297" t="str">
        <f t="shared" si="34"/>
        <v/>
      </c>
      <c r="H726" s="297" t="str">
        <f>IF(OR(G726="",G726="toute race"),"",VLOOKUP(G726,'Types de monstres'!$F$2:$G$49,2,FALSE))</f>
        <v/>
      </c>
      <c r="I726" s="297" t="s">
        <v>4091</v>
      </c>
      <c r="J726" s="302">
        <v>12</v>
      </c>
      <c r="K726" s="302">
        <v>22</v>
      </c>
      <c r="L726" s="297" t="s">
        <v>4092</v>
      </c>
      <c r="M726" s="297" t="s">
        <v>4137</v>
      </c>
      <c r="N726" s="297" t="str">
        <f>IF(M726="sans alignement","",IF(M726="tout alignement", """1_LB"", ""2_NB"", ""3_CB"", ""4_LN"", ""5_NN"", ""6_CN"", ""7_LM"", ""8_NM"", ""9_CM""",IF(M726="tout alignement non bon", """4_LN"", ""5_NN"", ""6_CN"", ""7_LM"", ""8_NM"", ""9_CM""",IF(M726="tout alignement mauvais", """7_LM"", ""8_NM"", ""9_CM""",IF(M726="tout alignement chaotique", """3_CB"", ""6_CN"", ""9_CM""",IF(M726="tout alignement non loyal", """2_NB"", ""3_CB"", ""5_NN"", ""6_CN"", ""8_NM"", ""9_CM""",""""&amp;VLOOKUP(M726,Alignements!$A$2:$B$10,2, FALSE)&amp;""""))))))</f>
        <v>"9_CM"</v>
      </c>
      <c r="O726" s="297"/>
      <c r="P726" t="str">
        <f t="shared" si="35"/>
        <v>"Spectre": {
  "Name" : "Spectre",
  "VO" : "Specter",
  "Family" : "UNDEAD",
  "Species" : [""],
  "FP" : "1", 
  "Size" : "M",
  "AC" : 12,
  "HP" : 22, 
  "Speed" : "vol",
  "Alignments" : ["9_CM"],
  "Legendary" : ""}</v>
      </c>
    </row>
    <row r="727" spans="1:16">
      <c r="A727" s="61" t="s">
        <v>5450</v>
      </c>
      <c r="B727" s="298" t="s">
        <v>5451</v>
      </c>
      <c r="C727" s="306" t="s">
        <v>5620</v>
      </c>
      <c r="D727" s="298" t="s">
        <v>4167</v>
      </c>
      <c r="E727" s="297" t="str">
        <f t="shared" si="33"/>
        <v>Plante</v>
      </c>
      <c r="F727" s="297" t="str">
        <f>VLOOKUP(E727,'Types de monstres'!$A$2:$B$17,2,FALSE)</f>
        <v>PLANT</v>
      </c>
      <c r="G727" s="297" t="str">
        <f t="shared" si="34"/>
        <v/>
      </c>
      <c r="H727" s="297" t="str">
        <f>IF(OR(G727="",G727="toute race"),"",VLOOKUP(G727,'Types de monstres'!$F$2:$G$49,2,FALSE))</f>
        <v/>
      </c>
      <c r="I727" s="298" t="s">
        <v>4112</v>
      </c>
      <c r="J727" s="300">
        <v>5</v>
      </c>
      <c r="K727" s="300">
        <v>1</v>
      </c>
      <c r="L727" s="298" t="s">
        <v>4092</v>
      </c>
      <c r="M727" s="298" t="s">
        <v>4130</v>
      </c>
      <c r="N727" s="297" t="str">
        <f>IF(M727="sans alignement","",IF(M727="tout alignement", """1_LB"", ""2_NB"", ""3_CB"", ""4_LN"", ""5_NN"", ""6_CN"", ""7_LM"", ""8_NM"", ""9_CM""",IF(M727="tout alignement non bon", """4_LN"", ""5_NN"", ""6_CN"", ""7_LM"", ""8_NM"", ""9_CM""",IF(M727="tout alignement mauvais", """7_LM"", ""8_NM"", ""9_CM""",IF(M727="tout alignement chaotique", """3_CB"", ""6_CN"", ""9_CM""",IF(M727="tout alignement non loyal", """2_NB"", ""3_CB"", ""5_NN"", ""6_CN"", ""8_NM"", ""9_CM""",""""&amp;VLOOKUP(M727,Alignements!$A$2:$B$10,2, FALSE)&amp;""""))))))</f>
        <v/>
      </c>
      <c r="O727" s="298"/>
      <c r="P727" t="str">
        <f t="shared" si="35"/>
        <v>"Spore gazeuse": {
  "Name" : "Spore gazeuse",
  "VO" : "Gas Spore",
  "Family" : "PLANT",
  "Species" : [""],
  "FP" : "1/2", 
  "Size" : "G",
  "AC" : 5,
  "HP" : 1, 
  "Speed" : "vol",
  "Alignments" : [],
  "Legendary" : ""}</v>
      </c>
    </row>
    <row r="728" spans="1:16">
      <c r="A728" s="61" t="s">
        <v>5452</v>
      </c>
      <c r="B728" s="297" t="s">
        <v>5453</v>
      </c>
      <c r="C728" s="305" t="s">
        <v>5618</v>
      </c>
      <c r="D728" s="297" t="s">
        <v>4117</v>
      </c>
      <c r="E728" s="297" t="str">
        <f t="shared" si="33"/>
        <v>Mort-vivant</v>
      </c>
      <c r="F728" s="297" t="str">
        <f>VLOOKUP(E728,'Types de monstres'!$A$2:$B$17,2,FALSE)</f>
        <v>UNDEAD</v>
      </c>
      <c r="G728" s="297" t="str">
        <f t="shared" si="34"/>
        <v/>
      </c>
      <c r="H728" s="297" t="str">
        <f>IF(OR(G728="",G728="toute race"),"",VLOOKUP(G728,'Types de monstres'!$F$2:$G$49,2,FALSE))</f>
        <v/>
      </c>
      <c r="I728" s="297" t="s">
        <v>4091</v>
      </c>
      <c r="J728" s="302">
        <v>13</v>
      </c>
      <c r="K728" s="302">
        <v>13</v>
      </c>
      <c r="L728" s="297"/>
      <c r="M728" s="297" t="s">
        <v>4097</v>
      </c>
      <c r="N728" s="297" t="str">
        <f>IF(M728="sans alignement","",IF(M728="tout alignement", """1_LB"", ""2_NB"", ""3_CB"", ""4_LN"", ""5_NN"", ""6_CN"", ""7_LM"", ""8_NM"", ""9_CM""",IF(M728="tout alignement non bon", """4_LN"", ""5_NN"", ""6_CN"", ""7_LM"", ""8_NM"", ""9_CM""",IF(M728="tout alignement mauvais", """7_LM"", ""8_NM"", ""9_CM""",IF(M728="tout alignement chaotique", """3_CB"", ""6_CN"", ""9_CM""",IF(M728="tout alignement non loyal", """2_NB"", ""3_CB"", ""5_NN"", ""6_CN"", ""8_NM"", ""9_CM""",""""&amp;VLOOKUP(M728,Alignements!$A$2:$B$10,2, FALSE)&amp;""""))))))</f>
        <v>"7_LM"</v>
      </c>
      <c r="O728" s="297"/>
      <c r="P728" t="str">
        <f t="shared" si="35"/>
        <v>"Squelette": {
  "Name" : "Squelette",
  "VO" : "Skeleton",
  "Family" : "UNDEAD",
  "Species" : [""],
  "FP" : "1/4", 
  "Size" : "M",
  "AC" : 13,
  "HP" : 13, 
  "Speed" : "",
  "Alignments" : ["7_LM"],
  "Legendary" : ""}</v>
      </c>
    </row>
    <row r="729" spans="1:16">
      <c r="A729" s="61" t="s">
        <v>5454</v>
      </c>
      <c r="B729" s="298" t="s">
        <v>5454</v>
      </c>
      <c r="C729" s="306" t="s">
        <v>5619</v>
      </c>
      <c r="D729" s="298" t="s">
        <v>4128</v>
      </c>
      <c r="E729" s="297" t="str">
        <f t="shared" si="33"/>
        <v>Bête</v>
      </c>
      <c r="F729" s="297" t="str">
        <f>VLOOKUP(E729,'Types de monstres'!$A$2:$B$17,2,FALSE)</f>
        <v>BEAST</v>
      </c>
      <c r="G729" s="297" t="str">
        <f t="shared" si="34"/>
        <v/>
      </c>
      <c r="H729" s="297" t="str">
        <f>IF(OR(G729="",G729="toute race"),"",VLOOKUP(G729,'Types de monstres'!$F$2:$G$49,2,FALSE))</f>
        <v/>
      </c>
      <c r="I729" s="298" t="s">
        <v>4154</v>
      </c>
      <c r="J729" s="300">
        <v>14</v>
      </c>
      <c r="K729" s="300">
        <v>2</v>
      </c>
      <c r="L729" s="298" t="s">
        <v>4092</v>
      </c>
      <c r="M729" s="298" t="s">
        <v>4130</v>
      </c>
      <c r="N729" s="297" t="str">
        <f>IF(M729="sans alignement","",IF(M729="tout alignement", """1_LB"", ""2_NB"", ""3_CB"", ""4_LN"", ""5_NN"", ""6_CN"", ""7_LM"", ""8_NM"", ""9_CM""",IF(M729="tout alignement non bon", """4_LN"", ""5_NN"", ""6_CN"", ""7_LM"", ""8_NM"", ""9_CM""",IF(M729="tout alignement mauvais", """7_LM"", ""8_NM"", ""9_CM""",IF(M729="tout alignement chaotique", """3_CB"", ""6_CN"", ""9_CM""",IF(M729="tout alignement non loyal", """2_NB"", ""3_CB"", ""5_NN"", ""6_CN"", ""8_NM"", ""9_CM""",""""&amp;VLOOKUP(M729,Alignements!$A$2:$B$10,2, FALSE)&amp;""""))))))</f>
        <v/>
      </c>
      <c r="O729" s="298"/>
      <c r="P729" t="str">
        <f t="shared" si="35"/>
        <v>"Stirge": {
  "Name" : "Stirge",
  "VO" : "Stirge",
  "Family" : "BEAST",
  "Species" : [""],
  "FP" : "1/8", 
  "Size" : "TP",
  "AC" : 14,
  "HP" : 2, 
  "Speed" : "vol",
  "Alignments" : [],
  "Legendary" : ""}</v>
      </c>
    </row>
    <row r="730" spans="1:16" ht="21">
      <c r="A730" s="301" t="s">
        <v>5455</v>
      </c>
      <c r="B730" s="297" t="s">
        <v>5455</v>
      </c>
      <c r="C730" s="305">
        <v>15</v>
      </c>
      <c r="D730" s="297" t="s">
        <v>5456</v>
      </c>
      <c r="E730" s="297" t="str">
        <f t="shared" si="33"/>
        <v>Mort-vivant</v>
      </c>
      <c r="F730" s="297" t="str">
        <f>VLOOKUP(E730,'Types de monstres'!$A$2:$B$17,2,FALSE)</f>
        <v>UNDEAD</v>
      </c>
      <c r="G730" s="297" t="str">
        <f t="shared" si="34"/>
        <v>métamorphe</v>
      </c>
      <c r="H730" s="297" t="str">
        <f>IF(OR(G730="",G730="toute race"),"",VLOOKUP(G730,'Types de monstres'!$F$2:$G$49,2,FALSE))</f>
        <v>METAMORPH</v>
      </c>
      <c r="I730" s="297" t="s">
        <v>4091</v>
      </c>
      <c r="J730" s="302">
        <v>16</v>
      </c>
      <c r="K730" s="302">
        <v>144</v>
      </c>
      <c r="L730" s="297"/>
      <c r="M730" s="297" t="s">
        <v>4097</v>
      </c>
      <c r="N730" s="297" t="str">
        <f>IF(M730="sans alignement","",IF(M730="tout alignement", """1_LB"", ""2_NB"", ""3_CB"", ""4_LN"", ""5_NN"", ""6_CN"", ""7_LM"", ""8_NM"", ""9_CM""",IF(M730="tout alignement non bon", """4_LN"", ""5_NN"", ""6_CN"", ""7_LM"", ""8_NM"", ""9_CM""",IF(M730="tout alignement mauvais", """7_LM"", ""8_NM"", ""9_CM""",IF(M730="tout alignement chaotique", """3_CB"", ""6_CN"", ""9_CM""",IF(M730="tout alignement non loyal", """2_NB"", ""3_CB"", ""5_NN"", ""6_CN"", ""8_NM"", ""9_CM""",""""&amp;VLOOKUP(M730,Alignements!$A$2:$B$10,2, FALSE)&amp;""""))))))</f>
        <v>"7_LM"</v>
      </c>
      <c r="O730" s="297"/>
      <c r="P730" t="str">
        <f t="shared" si="35"/>
        <v>"Strahd von Zarovich": {
  "Name" : "Strahd von Zarovich",
  "VO" : "Strahd von Zarovich",
  "Family" : "UNDEAD",
  "Species" : ["METAMORPH"],
  "FP" : "15", 
  "Size" : "M",
  "AC" : 16,
  "HP" : 144, 
  "Speed" : "",
  "Alignments" : ["7_LM"],
  "Legendary" : ""}</v>
      </c>
    </row>
    <row r="731" spans="1:16">
      <c r="A731" s="61" t="s">
        <v>5457</v>
      </c>
      <c r="B731" s="298" t="s">
        <v>5458</v>
      </c>
      <c r="C731" s="306">
        <v>4</v>
      </c>
      <c r="D731" s="298" t="s">
        <v>4212</v>
      </c>
      <c r="E731" s="297" t="str">
        <f t="shared" si="33"/>
        <v>Fiélon</v>
      </c>
      <c r="F731" s="297" t="str">
        <f>VLOOKUP(E731,'Types de monstres'!$A$2:$B$17,2,FALSE)</f>
        <v>FIEND</v>
      </c>
      <c r="G731" s="297" t="str">
        <f t="shared" si="34"/>
        <v>métamorphe</v>
      </c>
      <c r="H731" s="297" t="str">
        <f>IF(OR(G731="",G731="toute race"),"",VLOOKUP(G731,'Types de monstres'!$F$2:$G$49,2,FALSE))</f>
        <v>METAMORPH</v>
      </c>
      <c r="I731" s="298" t="s">
        <v>4091</v>
      </c>
      <c r="J731" s="300">
        <v>15</v>
      </c>
      <c r="K731" s="300">
        <v>66</v>
      </c>
      <c r="L731" s="298" t="s">
        <v>4092</v>
      </c>
      <c r="M731" s="298" t="s">
        <v>4118</v>
      </c>
      <c r="N731" s="297" t="str">
        <f>IF(M731="sans alignement","",IF(M731="tout alignement", """1_LB"", ""2_NB"", ""3_CB"", ""4_LN"", ""5_NN"", ""6_CN"", ""7_LM"", ""8_NM"", ""9_CM""",IF(M731="tout alignement non bon", """4_LN"", ""5_NN"", ""6_CN"", ""7_LM"", ""8_NM"", ""9_CM""",IF(M731="tout alignement mauvais", """7_LM"", ""8_NM"", ""9_CM""",IF(M731="tout alignement chaotique", """3_CB"", ""6_CN"", ""9_CM""",IF(M731="tout alignement non loyal", """2_NB"", ""3_CB"", ""5_NN"", ""6_CN"", ""8_NM"", ""9_CM""",""""&amp;VLOOKUP(M731,Alignements!$A$2:$B$10,2, FALSE)&amp;""""))))))</f>
        <v>"8_NM"</v>
      </c>
      <c r="O731" s="298"/>
      <c r="P731" t="str">
        <f t="shared" si="35"/>
        <v>"Succube": {
  "Name" : "Succube",
  "VO" : "Succubus",
  "Family" : "FIEND",
  "Species" : ["METAMORPH"],
  "FP" : "4", 
  "Size" : "M",
  "AC" : 15,
  "HP" : 66, 
  "Speed" : "vol",
  "Alignments" : ["8_NM"],
  "Legendary" : ""}</v>
      </c>
    </row>
    <row r="732" spans="1:16">
      <c r="A732" s="301" t="s">
        <v>5459</v>
      </c>
      <c r="B732" s="297" t="s">
        <v>5459</v>
      </c>
      <c r="C732" s="305">
        <v>28</v>
      </c>
      <c r="D732" s="297" t="s">
        <v>2914</v>
      </c>
      <c r="E732" s="297" t="str">
        <f t="shared" si="33"/>
        <v>Fiélon</v>
      </c>
      <c r="F732" s="297" t="str">
        <f>VLOOKUP(E732,'Types de monstres'!$A$2:$B$17,2,FALSE)</f>
        <v>FIEND</v>
      </c>
      <c r="G732" s="297" t="str">
        <f t="shared" si="34"/>
        <v/>
      </c>
      <c r="H732" s="297" t="str">
        <f>IF(OR(G732="",G732="toute race"),"",VLOOKUP(G732,'Types de monstres'!$F$2:$G$49,2,FALSE))</f>
        <v/>
      </c>
      <c r="I732" s="297" t="s">
        <v>4112</v>
      </c>
      <c r="J732" s="302">
        <v>22</v>
      </c>
      <c r="K732" s="302">
        <v>475</v>
      </c>
      <c r="L732" s="297" t="s">
        <v>4092</v>
      </c>
      <c r="M732" s="297" t="s">
        <v>4097</v>
      </c>
      <c r="N732" s="297" t="str">
        <f>IF(M732="sans alignement","",IF(M732="tout alignement", """1_LB"", ""2_NB"", ""3_CB"", ""4_LN"", ""5_NN"", ""6_CN"", ""7_LM"", ""8_NM"", ""9_CM""",IF(M732="tout alignement non bon", """4_LN"", ""5_NN"", ""6_CN"", ""7_LM"", ""8_NM"", ""9_CM""",IF(M732="tout alignement mauvais", """7_LM"", ""8_NM"", ""9_CM""",IF(M732="tout alignement chaotique", """3_CB"", ""6_CN"", ""9_CM""",IF(M732="tout alignement non loyal", """2_NB"", ""3_CB"", ""5_NN"", ""6_CN"", ""8_NM"", ""9_CM""",""""&amp;VLOOKUP(M732,Alignements!$A$2:$B$10,2, FALSE)&amp;""""))))))</f>
        <v>"7_LM"</v>
      </c>
      <c r="O732" s="297"/>
      <c r="P732" t="str">
        <f t="shared" si="35"/>
        <v>"Sul Khatesh": {
  "Name" : "Sul Khatesh",
  "VO" : "Sul Khatesh",
  "Family" : "FIEND",
  "Species" : [""],
  "FP" : "28", 
  "Size" : "G",
  "AC" : 22,
  "HP" : 475, 
  "Speed" : "vol",
  "Alignments" : ["7_LM"],
  "Legendary" : ""}</v>
      </c>
    </row>
    <row r="733" spans="1:16">
      <c r="A733" s="61" t="s">
        <v>5460</v>
      </c>
      <c r="B733" s="298" t="s">
        <v>5461</v>
      </c>
      <c r="C733" s="306">
        <v>9</v>
      </c>
      <c r="D733" s="298" t="s">
        <v>4167</v>
      </c>
      <c r="E733" s="297" t="str">
        <f t="shared" si="33"/>
        <v>Plante</v>
      </c>
      <c r="F733" s="297" t="str">
        <f>VLOOKUP(E733,'Types de monstres'!$A$2:$B$17,2,FALSE)</f>
        <v>PLANT</v>
      </c>
      <c r="G733" s="297" t="str">
        <f t="shared" si="34"/>
        <v/>
      </c>
      <c r="H733" s="297" t="str">
        <f>IF(OR(G733="",G733="toute race"),"",VLOOKUP(G733,'Types de monstres'!$F$2:$G$49,2,FALSE))</f>
        <v/>
      </c>
      <c r="I733" s="298" t="s">
        <v>4149</v>
      </c>
      <c r="J733" s="300">
        <v>16</v>
      </c>
      <c r="K733" s="300">
        <v>138</v>
      </c>
      <c r="L733" s="298"/>
      <c r="M733" s="298" t="s">
        <v>4439</v>
      </c>
      <c r="N733" s="297" t="str">
        <f>IF(M733="sans alignement","",IF(M733="tout alignement", """1_LB"", ""2_NB"", ""3_CB"", ""4_LN"", ""5_NN"", ""6_CN"", ""7_LM"", ""8_NM"", ""9_CM""",IF(M733="tout alignement non bon", """4_LN"", ""5_NN"", ""6_CN"", ""7_LM"", ""8_NM"", ""9_CM""",IF(M733="tout alignement mauvais", """7_LM"", ""8_NM"", ""9_CM""",IF(M733="tout alignement chaotique", """3_CB"", ""6_CN"", ""9_CM""",IF(M733="tout alignement non loyal", """2_NB"", ""3_CB"", ""5_NN"", ""6_CN"", ""8_NM"", ""9_CM""",""""&amp;VLOOKUP(M733,Alignements!$A$2:$B$10,2, FALSE)&amp;""""))))))</f>
        <v>"3_CB"</v>
      </c>
      <c r="O733" s="298"/>
      <c r="P733" t="str">
        <f t="shared" si="35"/>
        <v>"Sylvanien": {
  "Name" : "Sylvanien",
  "VO" : "Treant",
  "Family" : "PLANT",
  "Species" : [""],
  "FP" : "9", 
  "Size" : "TG",
  "AC" : 16,
  "HP" : 138, 
  "Speed" : "",
  "Alignments" : ["3_CB"],
  "Legendary" : ""}</v>
      </c>
    </row>
    <row r="734" spans="1:16">
      <c r="A734" s="61" t="s">
        <v>5462</v>
      </c>
      <c r="B734" s="297" t="s">
        <v>5463</v>
      </c>
      <c r="C734" s="305">
        <v>1</v>
      </c>
      <c r="D734" s="297" t="s">
        <v>5464</v>
      </c>
      <c r="E734" s="297" t="str">
        <f t="shared" si="33"/>
        <v>Humanoïde</v>
      </c>
      <c r="F734" s="297" t="str">
        <f>VLOOKUP(E734,'Types de monstres'!$A$2:$B$17,2,FALSE)</f>
        <v>HUMANOID</v>
      </c>
      <c r="G734" s="297" t="str">
        <f t="shared" si="34"/>
        <v>tabaxi</v>
      </c>
      <c r="H734" s="297" t="str">
        <f>IF(OR(G734="",G734="toute race"),"",VLOOKUP(G734,'Types de monstres'!$F$2:$G$49,2,FALSE))</f>
        <v>TABAXI</v>
      </c>
      <c r="I734" s="297" t="s">
        <v>4091</v>
      </c>
      <c r="J734" s="302">
        <v>14</v>
      </c>
      <c r="K734" s="302">
        <v>40</v>
      </c>
      <c r="L734" s="297"/>
      <c r="M734" s="297" t="s">
        <v>4439</v>
      </c>
      <c r="N734" s="297" t="str">
        <f>IF(M734="sans alignement","",IF(M734="tout alignement", """1_LB"", ""2_NB"", ""3_CB"", ""4_LN"", ""5_NN"", ""6_CN"", ""7_LM"", ""8_NM"", ""9_CM""",IF(M734="tout alignement non bon", """4_LN"", ""5_NN"", ""6_CN"", ""7_LM"", ""8_NM"", ""9_CM""",IF(M734="tout alignement mauvais", """7_LM"", ""8_NM"", ""9_CM""",IF(M734="tout alignement chaotique", """3_CB"", ""6_CN"", ""9_CM""",IF(M734="tout alignement non loyal", """2_NB"", ""3_CB"", ""5_NN"", ""6_CN"", ""8_NM"", ""9_CM""",""""&amp;VLOOKUP(M734,Alignements!$A$2:$B$10,2, FALSE)&amp;""""))))))</f>
        <v>"3_CB"</v>
      </c>
      <c r="O734" s="297"/>
      <c r="P734" t="str">
        <f t="shared" si="35"/>
        <v>"Tabaxi, chasseur": {
  "Name" : "Tabaxi, chasseur",
  "VO" : "Tabaxi Hunter",
  "Family" : "HUMANOID",
  "Species" : ["TABAXI"],
  "FP" : "1", 
  "Size" : "M",
  "AC" : 14,
  "HP" : 40, 
  "Speed" : "",
  "Alignments" : ["3_CB"],
  "Legendary" : ""}</v>
      </c>
    </row>
    <row r="735" spans="1:16">
      <c r="A735" s="299" t="s">
        <v>5465</v>
      </c>
      <c r="B735" s="298" t="s">
        <v>5466</v>
      </c>
      <c r="C735" s="306" t="s">
        <v>5618</v>
      </c>
      <c r="D735" s="298" t="s">
        <v>5464</v>
      </c>
      <c r="E735" s="297" t="str">
        <f t="shared" si="33"/>
        <v>Humanoïde</v>
      </c>
      <c r="F735" s="297" t="str">
        <f>VLOOKUP(E735,'Types de monstres'!$A$2:$B$17,2,FALSE)</f>
        <v>HUMANOID</v>
      </c>
      <c r="G735" s="297" t="str">
        <f t="shared" si="34"/>
        <v>tabaxi</v>
      </c>
      <c r="H735" s="297" t="str">
        <f>IF(OR(G735="",G735="toute race"),"",VLOOKUP(G735,'Types de monstres'!$F$2:$G$49,2,FALSE))</f>
        <v>TABAXI</v>
      </c>
      <c r="I735" s="298" t="s">
        <v>4091</v>
      </c>
      <c r="J735" s="300">
        <v>12</v>
      </c>
      <c r="K735" s="300">
        <v>22</v>
      </c>
      <c r="L735" s="298"/>
      <c r="M735" s="298" t="s">
        <v>4439</v>
      </c>
      <c r="N735" s="297" t="str">
        <f>IF(M735="sans alignement","",IF(M735="tout alignement", """1_LB"", ""2_NB"", ""3_CB"", ""4_LN"", ""5_NN"", ""6_CN"", ""7_LM"", ""8_NM"", ""9_CM""",IF(M735="tout alignement non bon", """4_LN"", ""5_NN"", ""6_CN"", ""7_LM"", ""8_NM"", ""9_CM""",IF(M735="tout alignement mauvais", """7_LM"", ""8_NM"", ""9_CM""",IF(M735="tout alignement chaotique", """3_CB"", ""6_CN"", ""9_CM""",IF(M735="tout alignement non loyal", """2_NB"", ""3_CB"", ""5_NN"", ""6_CN"", ""8_NM"", ""9_CM""",""""&amp;VLOOKUP(M735,Alignements!$A$2:$B$10,2, FALSE)&amp;""""))))))</f>
        <v>"3_CB"</v>
      </c>
      <c r="O735" s="298"/>
      <c r="P735" t="str">
        <f t="shared" si="35"/>
        <v>"Tabaxi, ménestrel": {
  "Name" : "Tabaxi, ménestrel",
  "VO" : "Tabaxi Minstrel",
  "Family" : "HUMANOID",
  "Species" : ["TABAXI"],
  "FP" : "1/4", 
  "Size" : "M",
  "AC" : 12,
  "HP" : 22, 
  "Speed" : "",
  "Alignments" : ["3_CB"],
  "Legendary" : ""}</v>
      </c>
    </row>
    <row r="736" spans="1:16">
      <c r="A736" s="61" t="s">
        <v>5467</v>
      </c>
      <c r="B736" s="297" t="s">
        <v>5467</v>
      </c>
      <c r="C736" s="305">
        <v>5</v>
      </c>
      <c r="D736" s="297" t="s">
        <v>5468</v>
      </c>
      <c r="E736" s="297" t="str">
        <f t="shared" si="33"/>
        <v>Fiélon</v>
      </c>
      <c r="F736" s="297" t="str">
        <f>VLOOKUP(E736,'Types de monstres'!$A$2:$B$17,2,FALSE)</f>
        <v>FIEND</v>
      </c>
      <c r="G736" s="297" t="str">
        <f t="shared" si="34"/>
        <v>démon, orque</v>
      </c>
      <c r="H736" s="297" t="s">
        <v>5722</v>
      </c>
      <c r="I736" s="297" t="s">
        <v>4091</v>
      </c>
      <c r="J736" s="302">
        <v>14</v>
      </c>
      <c r="K736" s="302">
        <v>95</v>
      </c>
      <c r="L736" s="297"/>
      <c r="M736" s="297" t="s">
        <v>4137</v>
      </c>
      <c r="N736" s="297" t="str">
        <f>IF(M736="sans alignement","",IF(M736="tout alignement", """1_LB"", ""2_NB"", ""3_CB"", ""4_LN"", ""5_NN"", ""6_CN"", ""7_LM"", ""8_NM"", ""9_CM""",IF(M736="tout alignement non bon", """4_LN"", ""5_NN"", ""6_CN"", ""7_LM"", ""8_NM"", ""9_CM""",IF(M736="tout alignement mauvais", """7_LM"", ""8_NM"", ""9_CM""",IF(M736="tout alignement chaotique", """3_CB"", ""6_CN"", ""9_CM""",IF(M736="tout alignement non loyal", """2_NB"", ""3_CB"", ""5_NN"", ""6_CN"", ""8_NM"", ""9_CM""",""""&amp;VLOOKUP(M736,Alignements!$A$2:$B$10,2, FALSE)&amp;""""))))))</f>
        <v>"9_CM"</v>
      </c>
      <c r="O736" s="297"/>
      <c r="P736" t="str">
        <f t="shared" si="35"/>
        <v>"Tanarukk": {
  "Name" : "Tanarukk",
  "VO" : "Tanarukk",
  "Family" : "FIEND",
  "Species" : ["DAZMON", "ORC"],
  "FP" : "5", 
  "Size" : "M",
  "AC" : 14,
  "HP" : 95, 
  "Speed" : "",
  "Alignments" : ["9_CM"],
  "Legendary" : ""}</v>
      </c>
    </row>
    <row r="737" spans="1:16">
      <c r="A737" s="61" t="s">
        <v>5469</v>
      </c>
      <c r="B737" s="298" t="s">
        <v>5470</v>
      </c>
      <c r="C737" s="306">
        <v>2</v>
      </c>
      <c r="D737" s="298" t="s">
        <v>4181</v>
      </c>
      <c r="E737" s="297" t="str">
        <f t="shared" si="33"/>
        <v>Créature artificielle</v>
      </c>
      <c r="F737" s="297" t="str">
        <f>VLOOKUP(E737,'Types de monstres'!$A$2:$B$17,2,FALSE)</f>
        <v>ARTIFICIAL_CREATURE</v>
      </c>
      <c r="G737" s="297" t="str">
        <f t="shared" si="34"/>
        <v/>
      </c>
      <c r="H737" s="297" t="str">
        <f>IF(OR(G737="",G737="toute race"),"",VLOOKUP(G737,'Types de monstres'!$F$2:$G$49,2,FALSE))</f>
        <v/>
      </c>
      <c r="I737" s="298" t="s">
        <v>4112</v>
      </c>
      <c r="J737" s="300">
        <v>12</v>
      </c>
      <c r="K737" s="300">
        <v>33</v>
      </c>
      <c r="L737" s="298"/>
      <c r="M737" s="298" t="s">
        <v>4130</v>
      </c>
      <c r="N737" s="297" t="str">
        <f>IF(M737="sans alignement","",IF(M737="tout alignement", """1_LB"", ""2_NB"", ""3_CB"", ""4_LN"", ""5_NN"", ""6_CN"", ""7_LM"", ""8_NM"", ""9_CM""",IF(M737="tout alignement non bon", """4_LN"", ""5_NN"", ""6_CN"", ""7_LM"", ""8_NM"", ""9_CM""",IF(M737="tout alignement mauvais", """7_LM"", ""8_NM"", ""9_CM""",IF(M737="tout alignement chaotique", """3_CB"", ""6_CN"", ""9_CM""",IF(M737="tout alignement non loyal", """2_NB"", ""3_CB"", ""5_NN"", ""6_CN"", ""8_NM"", ""9_CM""",""""&amp;VLOOKUP(M737,Alignements!$A$2:$B$10,2, FALSE)&amp;""""))))))</f>
        <v/>
      </c>
      <c r="O737" s="298"/>
      <c r="P737" t="str">
        <f t="shared" si="35"/>
        <v>"Tapis étouffant": {
  "Name" : "Tapis étouffant",
  "VO" : "Rug of Smothering",
  "Family" : "ARTIFICIAL_CREATURE",
  "Species" : [""],
  "FP" : "2", 
  "Size" : "G",
  "AC" : 12,
  "HP" : 33, 
  "Speed" : "",
  "Alignments" : [],
  "Legendary" : ""}</v>
      </c>
    </row>
    <row r="738" spans="1:16" ht="21">
      <c r="A738" s="61" t="s">
        <v>5471</v>
      </c>
      <c r="B738" s="297" t="s">
        <v>5472</v>
      </c>
      <c r="C738" s="305">
        <v>30</v>
      </c>
      <c r="D738" s="297" t="s">
        <v>4379</v>
      </c>
      <c r="E738" s="297" t="str">
        <f t="shared" si="33"/>
        <v>Créature monstrueuse</v>
      </c>
      <c r="F738" s="297" t="str">
        <f>VLOOKUP(E738,'Types de monstres'!$A$2:$B$17,2,FALSE)</f>
        <v>MONSTROUS_CREATURE</v>
      </c>
      <c r="G738" s="297" t="str">
        <f t="shared" si="34"/>
        <v>titan</v>
      </c>
      <c r="H738" s="297" t="str">
        <f>IF(OR(G738="",G738="toute race"),"",VLOOKUP(G738,'Types de monstres'!$F$2:$G$49,2,FALSE))</f>
        <v>TITAN</v>
      </c>
      <c r="I738" s="297" t="s">
        <v>4371</v>
      </c>
      <c r="J738" s="302">
        <v>25</v>
      </c>
      <c r="K738" s="302">
        <v>676</v>
      </c>
      <c r="L738" s="297"/>
      <c r="M738" s="297" t="s">
        <v>4130</v>
      </c>
      <c r="N738" s="297" t="str">
        <f>IF(M738="sans alignement","",IF(M738="tout alignement", """1_LB"", ""2_NB"", ""3_CB"", ""4_LN"", ""5_NN"", ""6_CN"", ""7_LM"", ""8_NM"", ""9_CM""",IF(M738="tout alignement non bon", """4_LN"", ""5_NN"", ""6_CN"", ""7_LM"", ""8_NM"", ""9_CM""",IF(M738="tout alignement mauvais", """7_LM"", ""8_NM"", ""9_CM""",IF(M738="tout alignement chaotique", """3_CB"", ""6_CN"", ""9_CM""",IF(M738="tout alignement non loyal", """2_NB"", ""3_CB"", ""5_NN"", ""6_CN"", ""8_NM"", ""9_CM""",""""&amp;VLOOKUP(M738,Alignements!$A$2:$B$10,2, FALSE)&amp;""""))))))</f>
        <v/>
      </c>
      <c r="O738" s="297" t="s">
        <v>4114</v>
      </c>
      <c r="P738" t="str">
        <f t="shared" si="35"/>
        <v>"Tarasque": {
  "Name" : "Tarasque",
  "VO" : "Tarrasque",
  "Family" : "MONSTROUS_CREATURE",
  "Species" : ["TITAN"],
  "FP" : "30", 
  "Size" : "Gig",
  "AC" : 25,
  "HP" : 676, 
  "Speed" : "",
  "Alignments" : [],
  "Legendary" : "Légendaire"}</v>
      </c>
    </row>
    <row r="739" spans="1:16" ht="21">
      <c r="A739" s="299" t="s">
        <v>5473</v>
      </c>
      <c r="B739" s="298" t="s">
        <v>5474</v>
      </c>
      <c r="C739" s="306">
        <v>2</v>
      </c>
      <c r="D739" s="298" t="s">
        <v>4108</v>
      </c>
      <c r="E739" s="297" t="str">
        <f t="shared" si="33"/>
        <v>Humanoïde</v>
      </c>
      <c r="F739" s="297" t="str">
        <f>VLOOKUP(E739,'Types de monstres'!$A$2:$B$17,2,FALSE)</f>
        <v>HUMANOID</v>
      </c>
      <c r="G739" s="297" t="str">
        <f t="shared" si="34"/>
        <v>toute race</v>
      </c>
      <c r="H739" s="297" t="str">
        <f>IF(OR(G739="",G739="toute race"),"",VLOOKUP(G739,'Types de monstres'!$F$2:$G$49,2,FALSE))</f>
        <v/>
      </c>
      <c r="I739" s="298" t="s">
        <v>4091</v>
      </c>
      <c r="J739" s="300">
        <v>15</v>
      </c>
      <c r="K739" s="300">
        <v>45</v>
      </c>
      <c r="L739" s="298"/>
      <c r="M739" s="298" t="s">
        <v>4182</v>
      </c>
      <c r="N739" s="297" t="str">
        <f>IF(M739="sans alignement","",IF(M739="tout alignement", """1_LB"", ""2_NB"", ""3_CB"", ""4_LN"", ""5_NN"", ""6_CN"", ""7_LM"", ""8_NM"", ""9_CM""",IF(M739="tout alignement non bon", """4_LN"", ""5_NN"", ""6_CN"", ""7_LM"", ""8_NM"", ""9_CM""",IF(M739="tout alignement mauvais", """7_LM"", ""8_NM"", ""9_CM""",IF(M739="tout alignement chaotique", """3_CB"", ""6_CN"", ""9_CM""",IF(M739="tout alignement non loyal", """2_NB"", ""3_CB"", ""5_NN"", ""6_CN"", ""8_NM"", ""9_CM""",""""&amp;VLOOKUP(M739,Alignements!$A$2:$B$10,2, FALSE)&amp;""""))))))</f>
        <v>"4_LN", "5_NN", "6_CN", "7_LM", "8_NM", "9_CM"</v>
      </c>
      <c r="O739" s="298"/>
      <c r="P739" t="str">
        <f t="shared" si="35"/>
        <v>"Tarkanan, assassin": {
  "Name" : "Tarkanan, assassin",
  "VO" : "Tarkanan Assassin",
  "Family" : "HUMANOID",
  "Species" : [""],
  "FP" : "2", 
  "Size" : "M",
  "AC" : 15,
  "HP" : 45, 
  "Speed" : "",
  "Alignments" : ["4_LN", "5_NN", "6_CN", "7_LM", "8_NM", "9_CM"],
  "Legendary" : ""}</v>
      </c>
    </row>
    <row r="740" spans="1:16">
      <c r="A740" s="61" t="s">
        <v>5475</v>
      </c>
      <c r="B740" s="297" t="s">
        <v>5476</v>
      </c>
      <c r="C740" s="305">
        <v>5</v>
      </c>
      <c r="D740" s="297" t="s">
        <v>4111</v>
      </c>
      <c r="E740" s="297" t="str">
        <f t="shared" si="33"/>
        <v>Aberration</v>
      </c>
      <c r="F740" s="297" t="str">
        <f>VLOOKUP(E740,'Types de monstres'!$A$2:$B$17,2,FALSE)</f>
        <v>ABERRATION</v>
      </c>
      <c r="G740" s="297" t="str">
        <f t="shared" si="34"/>
        <v/>
      </c>
      <c r="H740" s="297" t="str">
        <f>IF(OR(G740="",G740="toute race"),"",VLOOKUP(G740,'Types de monstres'!$F$2:$G$49,2,FALSE))</f>
        <v/>
      </c>
      <c r="I740" s="297" t="s">
        <v>4112</v>
      </c>
      <c r="J740" s="302">
        <v>15</v>
      </c>
      <c r="K740" s="302">
        <v>75</v>
      </c>
      <c r="L740" s="297" t="s">
        <v>4092</v>
      </c>
      <c r="M740" s="297" t="s">
        <v>4097</v>
      </c>
      <c r="N740" s="297" t="str">
        <f>IF(M740="sans alignement","",IF(M740="tout alignement", """1_LB"", ""2_NB"", ""3_CB"", ""4_LN"", ""5_NN"", ""6_CN"", ""7_LM"", ""8_NM"", ""9_CM""",IF(M740="tout alignement non bon", """4_LN"", ""5_NN"", ""6_CN"", ""7_LM"", ""8_NM"", ""9_CM""",IF(M740="tout alignement mauvais", """7_LM"", ""8_NM"", ""9_CM""",IF(M740="tout alignement chaotique", """3_CB"", ""6_CN"", ""9_CM""",IF(M740="tout alignement non loyal", """2_NB"", ""3_CB"", ""5_NN"", ""6_CN"", ""8_NM"", ""9_CM""",""""&amp;VLOOKUP(M740,Alignements!$A$2:$B$10,2, FALSE)&amp;""""))))))</f>
        <v>"7_LM"</v>
      </c>
      <c r="O740" s="297"/>
      <c r="P740" t="str">
        <f t="shared" si="35"/>
        <v>"Témoin spirituel": {
  "Name" : "Témoin spirituel",
  "VO" : "Mindwitness",
  "Family" : "ABERRATION",
  "Species" : [""],
  "FP" : "5", 
  "Size" : "G",
  "AC" : 15,
  "HP" : 75, 
  "Speed" : "vol",
  "Alignments" : ["7_LM"],
  "Legendary" : ""}</v>
      </c>
    </row>
    <row r="741" spans="1:16" ht="21">
      <c r="A741" s="299" t="s">
        <v>5477</v>
      </c>
      <c r="B741" s="298" t="s">
        <v>5478</v>
      </c>
      <c r="C741" s="306">
        <v>23</v>
      </c>
      <c r="D741" s="298" t="s">
        <v>4189</v>
      </c>
      <c r="E741" s="297" t="str">
        <f t="shared" si="33"/>
        <v>Élémentaire</v>
      </c>
      <c r="F741" s="297" t="str">
        <f>VLOOKUP(E741,'Types de monstres'!$A$2:$B$17,2,FALSE)</f>
        <v>ELEMENTARY</v>
      </c>
      <c r="G741" s="297" t="str">
        <f t="shared" si="34"/>
        <v/>
      </c>
      <c r="H741" s="297" t="str">
        <f>IF(OR(G741="",G741="toute race"),"",VLOOKUP(G741,'Types de monstres'!$F$2:$G$49,2,FALSE))</f>
        <v/>
      </c>
      <c r="I741" s="298" t="s">
        <v>4371</v>
      </c>
      <c r="J741" s="300">
        <v>19</v>
      </c>
      <c r="K741" s="300">
        <v>264</v>
      </c>
      <c r="L741" s="298" t="s">
        <v>4092</v>
      </c>
      <c r="M741" s="298" t="s">
        <v>4193</v>
      </c>
      <c r="N741" s="297" t="str">
        <f>IF(M741="sans alignement","",IF(M741="tout alignement", """1_LB"", ""2_NB"", ""3_CB"", ""4_LN"", ""5_NN"", ""6_CN"", ""7_LM"", ""8_NM"", ""9_CM""",IF(M741="tout alignement non bon", """4_LN"", ""5_NN"", ""6_CN"", ""7_LM"", ""8_NM"", ""9_CM""",IF(M741="tout alignement mauvais", """7_LM"", ""8_NM"", ""9_CM""",IF(M741="tout alignement chaotique", """3_CB"", ""6_CN"", ""9_CM""",IF(M741="tout alignement non loyal", """2_NB"", ""3_CB"", ""5_NN"", ""6_CN"", ""8_NM"", ""9_CM""",""""&amp;VLOOKUP(M741,Alignements!$A$2:$B$10,2, FALSE)&amp;""""))))))</f>
        <v>"5_NN"</v>
      </c>
      <c r="O741" s="298"/>
      <c r="P741" t="str">
        <f t="shared" si="35"/>
        <v>"Tempête, vénérable": {
  "Name" : "Tempête, vénérable",
  "VO" : "Elder Tempest",
  "Family" : "ELEMENTARY",
  "Species" : [""],
  "FP" : "23", 
  "Size" : "Gig",
  "AC" : 19,
  "HP" : 264, 
  "Speed" : "vol",
  "Alignments" : ["5_NN"],
  "Legendary" : ""}</v>
      </c>
    </row>
    <row r="742" spans="1:16">
      <c r="A742" s="301" t="s">
        <v>5479</v>
      </c>
      <c r="B742" s="297" t="s">
        <v>5480</v>
      </c>
      <c r="C742" s="305">
        <v>20</v>
      </c>
      <c r="D742" s="297" t="s">
        <v>4117</v>
      </c>
      <c r="E742" s="297" t="str">
        <f t="shared" si="33"/>
        <v>Mort-vivant</v>
      </c>
      <c r="F742" s="297" t="str">
        <f>VLOOKUP(E742,'Types de monstres'!$A$2:$B$17,2,FALSE)</f>
        <v>UNDEAD</v>
      </c>
      <c r="G742" s="297" t="str">
        <f t="shared" si="34"/>
        <v/>
      </c>
      <c r="H742" s="297" t="str">
        <f>IF(OR(G742="",G742="toute race"),"",VLOOKUP(G742,'Types de monstres'!$F$2:$G$49,2,FALSE))</f>
        <v/>
      </c>
      <c r="I742" s="297" t="s">
        <v>4149</v>
      </c>
      <c r="J742" s="302">
        <v>14</v>
      </c>
      <c r="K742" s="302">
        <v>297</v>
      </c>
      <c r="L742" s="297" t="s">
        <v>4092</v>
      </c>
      <c r="M742" s="297" t="s">
        <v>4137</v>
      </c>
      <c r="N742" s="297" t="str">
        <f>IF(M742="sans alignement","",IF(M742="tout alignement", """1_LB"", ""2_NB"", ""3_CB"", ""4_LN"", ""5_NN"", ""6_CN"", ""7_LM"", ""8_NM"", ""9_CM""",IF(M742="tout alignement non bon", """4_LN"", ""5_NN"", ""6_CN"", ""7_LM"", ""8_NM"", ""9_CM""",IF(M742="tout alignement mauvais", """7_LM"", ""8_NM"", ""9_CM""",IF(M742="tout alignement chaotique", """3_CB"", ""6_CN"", ""9_CM""",IF(M742="tout alignement non loyal", """2_NB"", ""3_CB"", ""5_NN"", ""6_CN"", ""8_NM"", ""9_CM""",""""&amp;VLOOKUP(M742,Alignements!$A$2:$B$10,2, FALSE)&amp;""""))))))</f>
        <v>"9_CM"</v>
      </c>
      <c r="O742" s="297"/>
      <c r="P742" t="str">
        <f t="shared" si="35"/>
        <v>"Ténébreux": {
  "Name" : "Ténébreux",
  "VO" : "Nightwalker",
  "Family" : "UNDEAD",
  "Species" : [""],
  "FP" : "20", 
  "Size" : "TG",
  "AC" : 14,
  "HP" : 297, 
  "Speed" : "vol",
  "Alignments" : ["9_CM"],
  "Legendary" : ""}</v>
      </c>
    </row>
    <row r="743" spans="1:16">
      <c r="A743" s="61" t="s">
        <v>5481</v>
      </c>
      <c r="B743" s="298" t="s">
        <v>5481</v>
      </c>
      <c r="C743" s="306" t="s">
        <v>5620</v>
      </c>
      <c r="D743" s="298" t="s">
        <v>5035</v>
      </c>
      <c r="E743" s="297" t="str">
        <f t="shared" si="33"/>
        <v>Humanoïde</v>
      </c>
      <c r="F743" s="297" t="str">
        <f>VLOOKUP(E743,'Types de monstres'!$A$2:$B$17,2,FALSE)</f>
        <v>HUMANOID</v>
      </c>
      <c r="G743" s="297" t="str">
        <f t="shared" si="34"/>
        <v>demi-elfe</v>
      </c>
      <c r="H743" s="297" t="str">
        <f>IF(OR(G743="",G743="toute race"),"",VLOOKUP(G743,'Types de monstres'!$F$2:$G$49,2,FALSE))</f>
        <v>HALF-ELF</v>
      </c>
      <c r="I743" s="298" t="s">
        <v>4091</v>
      </c>
      <c r="J743" s="300">
        <v>13</v>
      </c>
      <c r="K743" s="300">
        <v>13</v>
      </c>
      <c r="L743" s="298"/>
      <c r="M743" s="298" t="s">
        <v>4093</v>
      </c>
      <c r="N743" s="297" t="str">
        <f>IF(M743="sans alignement","",IF(M743="tout alignement", """1_LB"", ""2_NB"", ""3_CB"", ""4_LN"", ""5_NN"", ""6_CN"", ""7_LM"", ""8_NM"", ""9_CM""",IF(M743="tout alignement non bon", """4_LN"", ""5_NN"", ""6_CN"", ""7_LM"", ""8_NM"", ""9_CM""",IF(M743="tout alignement mauvais", """7_LM"", ""8_NM"", ""9_CM""",IF(M743="tout alignement chaotique", """3_CB"", ""6_CN"", ""9_CM""",IF(M743="tout alignement non loyal", """2_NB"", ""3_CB"", ""5_NN"", ""6_CN"", ""8_NM"", ""9_CM""",""""&amp;VLOOKUP(M743,Alignements!$A$2:$B$10,2, FALSE)&amp;""""))))))</f>
        <v>"2_NB"</v>
      </c>
      <c r="O743" s="298"/>
      <c r="P743" t="str">
        <f t="shared" si="35"/>
        <v>"Teril": {
  "Name" : "Teril",
  "VO" : "Teril",
  "Family" : "HUMANOID",
  "Species" : ["HALF-ELF"],
  "FP" : "1/2", 
  "Size" : "M",
  "AC" : 13,
  "HP" : 13, 
  "Speed" : "",
  "Alignments" : ["2_NB"],
  "Legendary" : ""}</v>
      </c>
    </row>
    <row r="744" spans="1:16">
      <c r="A744" s="61" t="s">
        <v>5482</v>
      </c>
      <c r="B744" s="297" t="s">
        <v>5483</v>
      </c>
      <c r="C744" s="305">
        <v>5</v>
      </c>
      <c r="D744" s="297" t="s">
        <v>4167</v>
      </c>
      <c r="E744" s="297" t="str">
        <f t="shared" si="33"/>
        <v>Plante</v>
      </c>
      <c r="F744" s="297" t="str">
        <f>VLOOKUP(E744,'Types de monstres'!$A$2:$B$17,2,FALSE)</f>
        <v>PLANT</v>
      </c>
      <c r="G744" s="297" t="str">
        <f t="shared" si="34"/>
        <v/>
      </c>
      <c r="H744" s="297" t="str">
        <f>IF(OR(G744="",G744="toute race"),"",VLOOKUP(G744,'Types de monstres'!$F$2:$G$49,2,FALSE))</f>
        <v/>
      </c>
      <c r="I744" s="297" t="s">
        <v>4112</v>
      </c>
      <c r="J744" s="302">
        <v>15</v>
      </c>
      <c r="K744" s="302">
        <v>136</v>
      </c>
      <c r="L744" s="297" t="s">
        <v>4113</v>
      </c>
      <c r="M744" s="297" t="s">
        <v>4130</v>
      </c>
      <c r="N744" s="297" t="str">
        <f>IF(M744="sans alignement","",IF(M744="tout alignement", """1_LB"", ""2_NB"", ""3_CB"", ""4_LN"", ""5_NN"", ""6_CN"", ""7_LM"", ""8_NM"", ""9_CM""",IF(M744="tout alignement non bon", """4_LN"", ""5_NN"", ""6_CN"", ""7_LM"", ""8_NM"", ""9_CM""",IF(M744="tout alignement mauvais", """7_LM"", ""8_NM"", ""9_CM""",IF(M744="tout alignement chaotique", """3_CB"", ""6_CN"", ""9_CM""",IF(M744="tout alignement non loyal", """2_NB"", ""3_CB"", ""5_NN"", ""6_CN"", ""8_NM"", ""9_CM""",""""&amp;VLOOKUP(M744,Alignements!$A$2:$B$10,2, FALSE)&amp;""""))))))</f>
        <v/>
      </c>
      <c r="O744" s="297"/>
      <c r="P744" t="str">
        <f t="shared" si="35"/>
        <v>"Tertre errant": {
  "Name" : "Tertre errant",
  "VO" : "Shambling Mound",
  "Family" : "PLANT",
  "Species" : [""],
  "FP" : "5", 
  "Size" : "G",
  "AC" : 15,
  "HP" : 136, 
  "Speed" : "nage",
  "Alignments" : [],
  "Legendary" : ""}</v>
      </c>
    </row>
    <row r="745" spans="1:16" ht="21">
      <c r="A745" s="61" t="s">
        <v>5484</v>
      </c>
      <c r="B745" s="298" t="s">
        <v>5485</v>
      </c>
      <c r="C745" s="306">
        <v>5</v>
      </c>
      <c r="D745" s="298" t="s">
        <v>4242</v>
      </c>
      <c r="E745" s="297" t="str">
        <f t="shared" si="33"/>
        <v>Humanoïde</v>
      </c>
      <c r="F745" s="297" t="str">
        <f>VLOOKUP(E745,'Types de monstres'!$A$2:$B$17,2,FALSE)</f>
        <v>HUMANOID</v>
      </c>
      <c r="G745" s="297" t="str">
        <f t="shared" si="34"/>
        <v>humain</v>
      </c>
      <c r="H745" s="297" t="str">
        <f>IF(OR(G745="",G745="toute race"),"",VLOOKUP(G745,'Types de monstres'!$F$2:$G$49,2,FALSE))</f>
        <v>HUMAN</v>
      </c>
      <c r="I745" s="298" t="s">
        <v>4091</v>
      </c>
      <c r="J745" s="300">
        <v>15</v>
      </c>
      <c r="K745" s="300">
        <v>76</v>
      </c>
      <c r="L745" s="298"/>
      <c r="M745" s="298" t="s">
        <v>4137</v>
      </c>
      <c r="N745" s="297" t="str">
        <f>IF(M745="sans alignement","",IF(M745="tout alignement", """1_LB"", ""2_NB"", ""3_CB"", ""4_LN"", ""5_NN"", ""6_CN"", ""7_LM"", ""8_NM"", ""9_CM""",IF(M745="tout alignement non bon", """4_LN"", ""5_NN"", ""6_CN"", ""7_LM"", ""8_NM"", ""9_CM""",IF(M745="tout alignement mauvais", """7_LM"", ""8_NM"", ""9_CM""",IF(M745="tout alignement chaotique", """3_CB"", ""6_CN"", ""9_CM""",IF(M745="tout alignement non loyal", """2_NB"", ""3_CB"", ""5_NN"", ""6_CN"", ""8_NM"", ""9_CM""",""""&amp;VLOOKUP(M745,Alignements!$A$2:$B$10,2, FALSE)&amp;""""))))))</f>
        <v>"9_CM"</v>
      </c>
      <c r="O745" s="298"/>
      <c r="P745" t="str">
        <f t="shared" si="35"/>
        <v>"Tête de mort de Bhaal": {
  "Name" : "Tête de mort de Bhaal",
  "VO" : "Death's Head of Bhaal",
  "Family" : "HUMANOID",
  "Species" : ["HUMAN"],
  "FP" : "5", 
  "Size" : "M",
  "AC" : 15,
  "HP" : 76, 
  "Speed" : "",
  "Alignments" : ["9_CM"],
  "Legendary" : ""}</v>
      </c>
    </row>
    <row r="746" spans="1:16">
      <c r="A746" s="301" t="s">
        <v>5486</v>
      </c>
      <c r="B746" s="297" t="s">
        <v>5487</v>
      </c>
      <c r="C746" s="305">
        <v>0</v>
      </c>
      <c r="D746" s="297" t="s">
        <v>4108</v>
      </c>
      <c r="E746" s="297" t="str">
        <f t="shared" si="33"/>
        <v>Humanoïde</v>
      </c>
      <c r="F746" s="297" t="str">
        <f>VLOOKUP(E746,'Types de monstres'!$A$2:$B$17,2,FALSE)</f>
        <v>HUMANOID</v>
      </c>
      <c r="G746" s="297" t="str">
        <f t="shared" si="34"/>
        <v>toute race</v>
      </c>
      <c r="H746" s="297" t="str">
        <f>IF(OR(G746="",G746="toute race"),"",VLOOKUP(G746,'Types de monstres'!$F$2:$G$49,2,FALSE))</f>
        <v/>
      </c>
      <c r="I746" s="297" t="s">
        <v>4091</v>
      </c>
      <c r="J746" s="302">
        <v>11</v>
      </c>
      <c r="K746" s="302">
        <v>9</v>
      </c>
      <c r="L746" s="297"/>
      <c r="M746" s="297" t="s">
        <v>4109</v>
      </c>
      <c r="N746" s="297" t="str">
        <f>IF(M746="sans alignement","",IF(M746="tout alignement", """1_LB"", ""2_NB"", ""3_CB"", ""4_LN"", ""5_NN"", ""6_CN"", ""7_LM"", ""8_NM"", ""9_CM""",IF(M746="tout alignement non bon", """4_LN"", ""5_NN"", ""6_CN"", ""7_LM"", ""8_NM"", ""9_CM""",IF(M746="tout alignement mauvais", """7_LM"", ""8_NM"", ""9_CM""",IF(M746="tout alignement chaotique", """3_CB"", ""6_CN"", ""9_CM""",IF(M746="tout alignement non loyal", """2_NB"", ""3_CB"", ""5_NN"", ""6_CN"", ""8_NM"", ""9_CM""",""""&amp;VLOOKUP(M746,Alignements!$A$2:$B$10,2, FALSE)&amp;""""))))))</f>
        <v>"1_LB", "2_NB", "3_CB", "4_LN", "5_NN", "6_CN", "7_LM", "8_NM", "9_CM"</v>
      </c>
      <c r="O746" s="297"/>
      <c r="P746" t="str">
        <f t="shared" si="35"/>
        <v>"Thaumartisan": {
  "Name" : "Thaumartisan",
  "VO" : "Magewright",
  "Family" : "HUMANOID",
  "Species" : [""],
  "FP" : "0", 
  "Size" : "M",
  "AC" : 11,
  "HP" : 9, 
  "Speed" : "",
  "Alignments" : ["1_LB", "2_NB", "3_CB", "4_LN", "5_NN", "6_CN", "7_LM", "8_NM", "9_CM"],
  "Legendary" : ""}</v>
      </c>
    </row>
    <row r="747" spans="1:16">
      <c r="A747" s="61" t="s">
        <v>5488</v>
      </c>
      <c r="B747" s="298" t="s">
        <v>5488</v>
      </c>
      <c r="C747" s="306">
        <v>1</v>
      </c>
      <c r="D747" s="298" t="s">
        <v>5489</v>
      </c>
      <c r="E747" s="297" t="str">
        <f t="shared" si="33"/>
        <v>Humanoïde</v>
      </c>
      <c r="F747" s="297" t="str">
        <f>VLOOKUP(E747,'Types de monstres'!$A$2:$B$17,2,FALSE)</f>
        <v>HUMANOID</v>
      </c>
      <c r="G747" s="297" t="str">
        <f t="shared" si="34"/>
        <v>thri-kreen</v>
      </c>
      <c r="H747" s="297" t="str">
        <f>IF(OR(G747="",G747="toute race"),"",VLOOKUP(G747,'Types de monstres'!$F$2:$G$49,2,FALSE))</f>
        <v>THRI_KREEN</v>
      </c>
      <c r="I747" s="298" t="s">
        <v>4091</v>
      </c>
      <c r="J747" s="300">
        <v>15</v>
      </c>
      <c r="K747" s="300">
        <v>33</v>
      </c>
      <c r="L747" s="298"/>
      <c r="M747" s="298" t="s">
        <v>4243</v>
      </c>
      <c r="N747" s="297" t="str">
        <f>IF(M747="sans alignement","",IF(M747="tout alignement", """1_LB"", ""2_NB"", ""3_CB"", ""4_LN"", ""5_NN"", ""6_CN"", ""7_LM"", ""8_NM"", ""9_CM""",IF(M747="tout alignement non bon", """4_LN"", ""5_NN"", ""6_CN"", ""7_LM"", ""8_NM"", ""9_CM""",IF(M747="tout alignement mauvais", """7_LM"", ""8_NM"", ""9_CM""",IF(M747="tout alignement chaotique", """3_CB"", ""6_CN"", ""9_CM""",IF(M747="tout alignement non loyal", """2_NB"", ""3_CB"", ""5_NN"", ""6_CN"", ""8_NM"", ""9_CM""",""""&amp;VLOOKUP(M747,Alignements!$A$2:$B$10,2, FALSE)&amp;""""))))))</f>
        <v>"6_CN"</v>
      </c>
      <c r="O747" s="298"/>
      <c r="P747" t="str">
        <f t="shared" si="35"/>
        <v>"Thri-kreen": {
  "Name" : "Thri-kreen",
  "VO" : "Thri-kreen",
  "Family" : "HUMANOID",
  "Species" : ["THRI_KREEN"],
  "FP" : "1", 
  "Size" : "M",
  "AC" : 15,
  "HP" : 33, 
  "Speed" : "",
  "Alignments" : ["6_CN"],
  "Legendary" : ""}</v>
      </c>
    </row>
    <row r="748" spans="1:16">
      <c r="A748" s="301" t="s">
        <v>5490</v>
      </c>
      <c r="B748" s="297" t="s">
        <v>5490</v>
      </c>
      <c r="C748" s="305">
        <v>30</v>
      </c>
      <c r="D748" s="297" t="s">
        <v>2914</v>
      </c>
      <c r="E748" s="297" t="str">
        <f t="shared" si="33"/>
        <v>Fiélon</v>
      </c>
      <c r="F748" s="297" t="str">
        <f>VLOOKUP(E748,'Types de monstres'!$A$2:$B$17,2,FALSE)</f>
        <v>FIEND</v>
      </c>
      <c r="G748" s="297" t="str">
        <f t="shared" si="34"/>
        <v/>
      </c>
      <c r="H748" s="297" t="str">
        <f>IF(OR(G748="",G748="toute race"),"",VLOOKUP(G748,'Types de monstres'!$F$2:$G$49,2,FALSE))</f>
        <v/>
      </c>
      <c r="I748" s="297" t="s">
        <v>4371</v>
      </c>
      <c r="J748" s="302">
        <v>25</v>
      </c>
      <c r="K748" s="302">
        <v>615</v>
      </c>
      <c r="L748" s="297" t="s">
        <v>4092</v>
      </c>
      <c r="M748" s="297" t="s">
        <v>4137</v>
      </c>
      <c r="N748" s="297" t="str">
        <f>IF(M748="sans alignement","",IF(M748="tout alignement", """1_LB"", ""2_NB"", ""3_CB"", ""4_LN"", ""5_NN"", ""6_CN"", ""7_LM"", ""8_NM"", ""9_CM""",IF(M748="tout alignement non bon", """4_LN"", ""5_NN"", ""6_CN"", ""7_LM"", ""8_NM"", ""9_CM""",IF(M748="tout alignement mauvais", """7_LM"", ""8_NM"", ""9_CM""",IF(M748="tout alignement chaotique", """3_CB"", ""6_CN"", ""9_CM""",IF(M748="tout alignement non loyal", """2_NB"", ""3_CB"", ""5_NN"", ""6_CN"", ""8_NM"", ""9_CM""",""""&amp;VLOOKUP(M748,Alignements!$A$2:$B$10,2, FALSE)&amp;""""))))))</f>
        <v>"9_CM"</v>
      </c>
      <c r="O748" s="297"/>
      <c r="P748" t="str">
        <f t="shared" si="35"/>
        <v>"Tiamat": {
  "Name" : "Tiamat",
  "VO" : "Tiamat",
  "Family" : "FIEND",
  "Species" : [""],
  "FP" : "30", 
  "Size" : "Gig",
  "AC" : 25,
  "HP" : 615, 
  "Speed" : "vol",
  "Alignments" : ["9_CM"],
  "Legendary" : ""}</v>
      </c>
    </row>
    <row r="749" spans="1:16">
      <c r="A749" s="61" t="s">
        <v>5491</v>
      </c>
      <c r="B749" s="298" t="s">
        <v>5492</v>
      </c>
      <c r="C749" s="306">
        <v>1</v>
      </c>
      <c r="D749" s="298" t="s">
        <v>4128</v>
      </c>
      <c r="E749" s="297" t="str">
        <f t="shared" si="33"/>
        <v>Bête</v>
      </c>
      <c r="F749" s="297" t="str">
        <f>VLOOKUP(E749,'Types de monstres'!$A$2:$B$17,2,FALSE)</f>
        <v>BEAST</v>
      </c>
      <c r="G749" s="297" t="str">
        <f t="shared" si="34"/>
        <v/>
      </c>
      <c r="H749" s="297" t="str">
        <f>IF(OR(G749="",G749="toute race"),"",VLOOKUP(G749,'Types de monstres'!$F$2:$G$49,2,FALSE))</f>
        <v/>
      </c>
      <c r="I749" s="298" t="s">
        <v>4112</v>
      </c>
      <c r="J749" s="300">
        <v>12</v>
      </c>
      <c r="K749" s="300">
        <v>37</v>
      </c>
      <c r="L749" s="298"/>
      <c r="M749" s="298" t="s">
        <v>4130</v>
      </c>
      <c r="N749" s="297" t="str">
        <f>IF(M749="sans alignement","",IF(M749="tout alignement", """1_LB"", ""2_NB"", ""3_CB"", ""4_LN"", ""5_NN"", ""6_CN"", ""7_LM"", ""8_NM"", ""9_CM""",IF(M749="tout alignement non bon", """4_LN"", ""5_NN"", ""6_CN"", ""7_LM"", ""8_NM"", ""9_CM""",IF(M749="tout alignement mauvais", """7_LM"", ""8_NM"", ""9_CM""",IF(M749="tout alignement chaotique", """3_CB"", ""6_CN"", ""9_CM""",IF(M749="tout alignement non loyal", """2_NB"", ""3_CB"", ""5_NN"", ""6_CN"", ""8_NM"", ""9_CM""",""""&amp;VLOOKUP(M749,Alignements!$A$2:$B$10,2, FALSE)&amp;""""))))))</f>
        <v/>
      </c>
      <c r="O749" s="298"/>
      <c r="P749" t="str">
        <f t="shared" si="35"/>
        <v>"Tigre": {
  "Name" : "Tigre",
  "VO" : "Tiger",
  "Family" : "BEAST",
  "Species" : [""],
  "FP" : "1", 
  "Size" : "G",
  "AC" : 12,
  "HP" : 37, 
  "Speed" : "",
  "Alignments" : [],
  "Legendary" : ""}</v>
      </c>
    </row>
    <row r="750" spans="1:16" ht="21">
      <c r="A750" s="61" t="s">
        <v>5493</v>
      </c>
      <c r="B750" s="297" t="s">
        <v>5494</v>
      </c>
      <c r="C750" s="305">
        <v>2</v>
      </c>
      <c r="D750" s="297" t="s">
        <v>4128</v>
      </c>
      <c r="E750" s="297" t="str">
        <f t="shared" si="33"/>
        <v>Bête</v>
      </c>
      <c r="F750" s="297" t="str">
        <f>VLOOKUP(E750,'Types de monstres'!$A$2:$B$17,2,FALSE)</f>
        <v>BEAST</v>
      </c>
      <c r="G750" s="297" t="str">
        <f t="shared" si="34"/>
        <v/>
      </c>
      <c r="H750" s="297" t="str">
        <f>IF(OR(G750="",G750="toute race"),"",VLOOKUP(G750,'Types de monstres'!$F$2:$G$49,2,FALSE))</f>
        <v/>
      </c>
      <c r="I750" s="297" t="s">
        <v>4112</v>
      </c>
      <c r="J750" s="302">
        <v>12</v>
      </c>
      <c r="K750" s="302">
        <v>52</v>
      </c>
      <c r="L750" s="297"/>
      <c r="M750" s="297" t="s">
        <v>4130</v>
      </c>
      <c r="N750" s="297" t="str">
        <f>IF(M750="sans alignement","",IF(M750="tout alignement", """1_LB"", ""2_NB"", ""3_CB"", ""4_LN"", ""5_NN"", ""6_CN"", ""7_LM"", ""8_NM"", ""9_CM""",IF(M750="tout alignement non bon", """4_LN"", ""5_NN"", ""6_CN"", ""7_LM"", ""8_NM"", ""9_CM""",IF(M750="tout alignement mauvais", """7_LM"", ""8_NM"", ""9_CM""",IF(M750="tout alignement chaotique", """3_CB"", ""6_CN"", ""9_CM""",IF(M750="tout alignement non loyal", """2_NB"", ""3_CB"", ""5_NN"", ""6_CN"", ""8_NM"", ""9_CM""",""""&amp;VLOOKUP(M750,Alignements!$A$2:$B$10,2, FALSE)&amp;""""))))))</f>
        <v/>
      </c>
      <c r="O750" s="297"/>
      <c r="P750" t="str">
        <f t="shared" si="35"/>
        <v>"Tigre à dents de sabre": {
  "Name" : "Tigre à dents de sabre",
  "VO" : "Saber-Toothed Tiger",
  "Family" : "BEAST",
  "Species" : [""],
  "FP" : "2", 
  "Size" : "G",
  "AC" : 12,
  "HP" : 52, 
  "Speed" : "",
  "Alignments" : [],
  "Legendary" : ""}</v>
      </c>
    </row>
    <row r="751" spans="1:16" ht="21">
      <c r="A751" s="61" t="s">
        <v>5495</v>
      </c>
      <c r="B751" s="298" t="s">
        <v>5496</v>
      </c>
      <c r="C751" s="306">
        <v>4</v>
      </c>
      <c r="D751" s="298" t="s">
        <v>4351</v>
      </c>
      <c r="E751" s="297" t="str">
        <f t="shared" si="33"/>
        <v>Humanoïde</v>
      </c>
      <c r="F751" s="297" t="str">
        <f>VLOOKUP(E751,'Types de monstres'!$A$2:$B$17,2,FALSE)</f>
        <v>HUMANOID</v>
      </c>
      <c r="G751" s="297" t="str">
        <f t="shared" si="34"/>
        <v>humain, métamorphe</v>
      </c>
      <c r="H751" s="297" t="s">
        <v>5721</v>
      </c>
      <c r="I751" s="298" t="s">
        <v>4091</v>
      </c>
      <c r="J751" s="300">
        <v>12</v>
      </c>
      <c r="K751" s="300">
        <v>120</v>
      </c>
      <c r="L751" s="298"/>
      <c r="M751" s="298" t="s">
        <v>4193</v>
      </c>
      <c r="N751" s="297" t="str">
        <f>IF(M751="sans alignement","",IF(M751="tout alignement", """1_LB"", ""2_NB"", ""3_CB"", ""4_LN"", ""5_NN"", ""6_CN"", ""7_LM"", ""8_NM"", ""9_CM""",IF(M751="tout alignement non bon", """4_LN"", ""5_NN"", ""6_CN"", ""7_LM"", ""8_NM"", ""9_CM""",IF(M751="tout alignement mauvais", """7_LM"", ""8_NM"", ""9_CM""",IF(M751="tout alignement chaotique", """3_CB"", ""6_CN"", ""9_CM""",IF(M751="tout alignement non loyal", """2_NB"", ""3_CB"", ""5_NN"", ""6_CN"", ""8_NM"", ""9_CM""",""""&amp;VLOOKUP(M751,Alignements!$A$2:$B$10,2, FALSE)&amp;""""))))))</f>
        <v>"5_NN"</v>
      </c>
      <c r="O751" s="298"/>
      <c r="P751" t="str">
        <f t="shared" si="35"/>
        <v>"Tigre-garou": {
  "Name" : "Tigre-garou",
  "VO" : "Weretiger",
  "Family" : "HUMANOID",
  "Species" : ["HUMAN", "METAMORPH"],
  "FP" : "4", 
  "Size" : "M",
  "AC" : 12,
  "HP" : 120, 
  "Speed" : "",
  "Alignments" : ["5_NN"],
  "Legendary" : ""}</v>
      </c>
    </row>
    <row r="752" spans="1:16">
      <c r="A752" s="301" t="s">
        <v>5497</v>
      </c>
      <c r="B752" s="297" t="s">
        <v>5497</v>
      </c>
      <c r="C752" s="305">
        <v>16</v>
      </c>
      <c r="D752" s="297" t="s">
        <v>4096</v>
      </c>
      <c r="E752" s="297" t="str">
        <f t="shared" si="33"/>
        <v>Fiélon</v>
      </c>
      <c r="F752" s="297" t="str">
        <f>VLOOKUP(E752,'Types de monstres'!$A$2:$B$17,2,FALSE)</f>
        <v>FIEND</v>
      </c>
      <c r="G752" s="297" t="str">
        <f t="shared" si="34"/>
        <v>diable</v>
      </c>
      <c r="H752" s="297" t="str">
        <f>IF(OR(G752="",G752="toute race"),"",VLOOKUP(G752,'Types de monstres'!$F$2:$G$49,2,FALSE))</f>
        <v>DEVIL</v>
      </c>
      <c r="I752" s="297" t="s">
        <v>4091</v>
      </c>
      <c r="J752" s="302">
        <v>20</v>
      </c>
      <c r="K752" s="302">
        <v>127</v>
      </c>
      <c r="L752" s="297" t="s">
        <v>4092</v>
      </c>
      <c r="M752" s="297" t="s">
        <v>4097</v>
      </c>
      <c r="N752" s="297" t="str">
        <f>IF(M752="sans alignement","",IF(M752="tout alignement", """1_LB"", ""2_NB"", ""3_CB"", ""4_LN"", ""5_NN"", ""6_CN"", ""7_LM"", ""8_NM"", ""9_CM""",IF(M752="tout alignement non bon", """4_LN"", ""5_NN"", ""6_CN"", ""7_LM"", ""8_NM"", ""9_CM""",IF(M752="tout alignement mauvais", """7_LM"", ""8_NM"", ""9_CM""",IF(M752="tout alignement chaotique", """3_CB"", ""6_CN"", ""9_CM""",IF(M752="tout alignement non loyal", """2_NB"", ""3_CB"", ""5_NN"", ""6_CN"", ""8_NM"", ""9_CM""",""""&amp;VLOOKUP(M752,Alignements!$A$2:$B$10,2, FALSE)&amp;""""))))))</f>
        <v>"7_LM"</v>
      </c>
      <c r="O752" s="297"/>
      <c r="P752" t="str">
        <f t="shared" si="35"/>
        <v>"Titivilus": {
  "Name" : "Titivilus",
  "VO" : "Titivilus",
  "Family" : "FIEND",
  "Species" : ["DEVIL"],
  "FP" : "16", 
  "Size" : "M",
  "AC" : 20,
  "HP" : 127, 
  "Speed" : "vol",
  "Alignments" : ["7_LM"],
  "Legendary" : ""}</v>
      </c>
    </row>
    <row r="753" spans="1:16">
      <c r="A753" s="61" t="s">
        <v>5498</v>
      </c>
      <c r="B753" s="298" t="s">
        <v>5498</v>
      </c>
      <c r="C753" s="306">
        <v>5</v>
      </c>
      <c r="D753" s="298" t="s">
        <v>4121</v>
      </c>
      <c r="E753" s="297" t="str">
        <f t="shared" si="33"/>
        <v>Créature monstrueuse</v>
      </c>
      <c r="F753" s="297" t="str">
        <f>VLOOKUP(E753,'Types de monstres'!$A$2:$B$17,2,FALSE)</f>
        <v>MONSTROUS_CREATURE</v>
      </c>
      <c r="G753" s="297" t="str">
        <f t="shared" si="34"/>
        <v/>
      </c>
      <c r="H753" s="297" t="str">
        <f>IF(OR(G753="",G753="toute race"),"",VLOOKUP(G753,'Types de monstres'!$F$2:$G$49,2,FALSE))</f>
        <v/>
      </c>
      <c r="I753" s="298" t="s">
        <v>4112</v>
      </c>
      <c r="J753" s="300">
        <v>15</v>
      </c>
      <c r="K753" s="300">
        <v>85</v>
      </c>
      <c r="L753" s="298"/>
      <c r="M753" s="298" t="s">
        <v>4118</v>
      </c>
      <c r="N753" s="297" t="str">
        <f>IF(M753="sans alignement","",IF(M753="tout alignement", """1_LB"", ""2_NB"", ""3_CB"", ""4_LN"", ""5_NN"", ""6_CN"", ""7_LM"", ""8_NM"", ""9_CM""",IF(M753="tout alignement non bon", """4_LN"", ""5_NN"", ""6_CN"", ""7_LM"", ""8_NM"", ""9_CM""",IF(M753="tout alignement mauvais", """7_LM"", ""8_NM"", ""9_CM""",IF(M753="tout alignement chaotique", """3_CB"", ""6_CN"", ""9_CM""",IF(M753="tout alignement non loyal", """2_NB"", ""3_CB"", ""5_NN"", ""6_CN"", ""8_NM"", ""9_CM""",""""&amp;VLOOKUP(M753,Alignements!$A$2:$B$10,2, FALSE)&amp;""""))))))</f>
        <v>"8_NM"</v>
      </c>
      <c r="O753" s="298"/>
      <c r="P753" t="str">
        <f t="shared" si="35"/>
        <v>"Tlincalli": {
  "Name" : "Tlincalli",
  "VO" : "Tlincalli",
  "Family" : "MONSTROUS_CREATURE",
  "Species" : [""],
  "FP" : "5", 
  "Size" : "G",
  "AC" : 15,
  "HP" : 85, 
  "Speed" : "",
  "Alignments" : ["8_NM"],
  "Legendary" : ""}</v>
      </c>
    </row>
    <row r="754" spans="1:16" ht="21">
      <c r="A754" s="301" t="s">
        <v>5499</v>
      </c>
      <c r="B754" s="297" t="s">
        <v>5500</v>
      </c>
      <c r="C754" s="305">
        <v>8</v>
      </c>
      <c r="D754" s="297" t="s">
        <v>4121</v>
      </c>
      <c r="E754" s="297" t="str">
        <f t="shared" si="33"/>
        <v>Créature monstrueuse</v>
      </c>
      <c r="F754" s="297" t="str">
        <f>VLOOKUP(E754,'Types de monstres'!$A$2:$B$17,2,FALSE)</f>
        <v>MONSTROUS_CREATURE</v>
      </c>
      <c r="G754" s="297" t="str">
        <f t="shared" si="34"/>
        <v/>
      </c>
      <c r="H754" s="297" t="str">
        <f>IF(OR(G754="",G754="toute race"),"",VLOOKUP(G754,'Types de monstres'!$F$2:$G$49,2,FALSE))</f>
        <v/>
      </c>
      <c r="I754" s="297" t="s">
        <v>4371</v>
      </c>
      <c r="J754" s="302">
        <v>17</v>
      </c>
      <c r="K754" s="302">
        <v>227</v>
      </c>
      <c r="L754" s="297"/>
      <c r="M754" s="297" t="s">
        <v>4130</v>
      </c>
      <c r="N754" s="297" t="str">
        <f>IF(M754="sans alignement","",IF(M754="tout alignement", """1_LB"", ""2_NB"", ""3_CB"", ""4_LN"", ""5_NN"", ""6_CN"", ""7_LM"", ""8_NM"", ""9_CM""",IF(M754="tout alignement non bon", """4_LN"", ""5_NN"", ""6_CN"", ""7_LM"", ""8_NM"", ""9_CM""",IF(M754="tout alignement mauvais", """7_LM"", ""8_NM"", ""9_CM""",IF(M754="tout alignement chaotique", """3_CB"", ""6_CN"", ""9_CM""",IF(M754="tout alignement non loyal", """2_NB"", ""3_CB"", ""5_NN"", ""6_CN"", ""8_NM"", ""9_CM""",""""&amp;VLOOKUP(M754,Alignements!$A$2:$B$10,2, FALSE)&amp;""""))))))</f>
        <v/>
      </c>
      <c r="O754" s="297"/>
      <c r="P754" t="str">
        <f t="shared" si="35"/>
        <v>"Tortue gargantuesque": {
  "Name" : "Tortue gargantuesque",
  "VO" : "Horizonback Tortoise",
  "Family" : "MONSTROUS_CREATURE",
  "Species" : [""],
  "FP" : "8", 
  "Size" : "Gig",
  "AC" : 17,
  "HP" : 227, 
  "Speed" : "",
  "Alignments" : [],
  "Legendary" : ""}</v>
      </c>
    </row>
    <row r="755" spans="1:16">
      <c r="A755" s="299" t="s">
        <v>5501</v>
      </c>
      <c r="B755" s="298" t="s">
        <v>5502</v>
      </c>
      <c r="C755" s="306" t="s">
        <v>5618</v>
      </c>
      <c r="D755" s="298" t="s">
        <v>5503</v>
      </c>
      <c r="E755" s="297" t="str">
        <f t="shared" si="33"/>
        <v>Humanoïde</v>
      </c>
      <c r="F755" s="297" t="str">
        <f>VLOOKUP(E755,'Types de monstres'!$A$2:$B$17,2,FALSE)</f>
        <v>HUMANOID</v>
      </c>
      <c r="G755" s="297" t="str">
        <f t="shared" si="34"/>
        <v>tortuga</v>
      </c>
      <c r="H755" s="297" t="str">
        <f>IF(OR(G755="",G755="toute race"),"",VLOOKUP(G755,'Types de monstres'!$F$2:$G$49,2,FALSE))</f>
        <v>TORTUGA</v>
      </c>
      <c r="I755" s="298" t="s">
        <v>4091</v>
      </c>
      <c r="J755" s="300">
        <v>17</v>
      </c>
      <c r="K755" s="300">
        <v>22</v>
      </c>
      <c r="L755" s="298"/>
      <c r="M755" s="298" t="s">
        <v>4318</v>
      </c>
      <c r="N755" s="297" t="str">
        <f>IF(M755="sans alignement","",IF(M755="tout alignement", """1_LB"", ""2_NB"", ""3_CB"", ""4_LN"", ""5_NN"", ""6_CN"", ""7_LM"", ""8_NM"", ""9_CM""",IF(M755="tout alignement non bon", """4_LN"", ""5_NN"", ""6_CN"", ""7_LM"", ""8_NM"", ""9_CM""",IF(M755="tout alignement mauvais", """7_LM"", ""8_NM"", ""9_CM""",IF(M755="tout alignement chaotique", """3_CB"", ""6_CN"", ""9_CM""",IF(M755="tout alignement non loyal", """2_NB"", ""3_CB"", ""5_NN"", ""6_CN"", ""8_NM"", ""9_CM""",""""&amp;VLOOKUP(M755,Alignements!$A$2:$B$10,2, FALSE)&amp;""""))))))</f>
        <v>"1_LB"</v>
      </c>
      <c r="O755" s="298"/>
      <c r="P755" t="str">
        <f t="shared" si="35"/>
        <v>"Tortuga": {
  "Name" : "Tortuga",
  "VO" : "Tortle",
  "Family" : "HUMANOID",
  "Species" : ["TORTUGA"],
  "FP" : "1/4", 
  "Size" : "M",
  "AC" : 17,
  "HP" : 22, 
  "Speed" : "",
  "Alignments" : ["1_LB"],
  "Legendary" : ""}</v>
      </c>
    </row>
    <row r="756" spans="1:16">
      <c r="A756" s="301" t="s">
        <v>5504</v>
      </c>
      <c r="B756" s="297" t="s">
        <v>5505</v>
      </c>
      <c r="C756" s="305">
        <v>2</v>
      </c>
      <c r="D756" s="297" t="s">
        <v>5503</v>
      </c>
      <c r="E756" s="297" t="str">
        <f t="shared" si="33"/>
        <v>Humanoïde</v>
      </c>
      <c r="F756" s="297" t="str">
        <f>VLOOKUP(E756,'Types de monstres'!$A$2:$B$17,2,FALSE)</f>
        <v>HUMANOID</v>
      </c>
      <c r="G756" s="297" t="str">
        <f t="shared" si="34"/>
        <v>tortuga</v>
      </c>
      <c r="H756" s="297" t="str">
        <f>IF(OR(G756="",G756="toute race"),"",VLOOKUP(G756,'Types de monstres'!$F$2:$G$49,2,FALSE))</f>
        <v>TORTUGA</v>
      </c>
      <c r="I756" s="297" t="s">
        <v>4091</v>
      </c>
      <c r="J756" s="302">
        <v>17</v>
      </c>
      <c r="K756" s="302">
        <v>33</v>
      </c>
      <c r="L756" s="297"/>
      <c r="M756" s="297" t="s">
        <v>4145</v>
      </c>
      <c r="N756" s="297" t="str">
        <f>IF(M756="sans alignement","",IF(M756="tout alignement", """1_LB"", ""2_NB"", ""3_CB"", ""4_LN"", ""5_NN"", ""6_CN"", ""7_LM"", ""8_NM"", ""9_CM""",IF(M756="tout alignement non bon", """4_LN"", ""5_NN"", ""6_CN"", ""7_LM"", ""8_NM"", ""9_CM""",IF(M756="tout alignement mauvais", """7_LM"", ""8_NM"", ""9_CM""",IF(M756="tout alignement chaotique", """3_CB"", ""6_CN"", ""9_CM""",IF(M756="tout alignement non loyal", """2_NB"", ""3_CB"", ""5_NN"", ""6_CN"", ""8_NM"", ""9_CM""",""""&amp;VLOOKUP(M756,Alignements!$A$2:$B$10,2, FALSE)&amp;""""))))))</f>
        <v>"4_LN"</v>
      </c>
      <c r="O756" s="297"/>
      <c r="P756" t="str">
        <f t="shared" si="35"/>
        <v>"Tortuga, druide": {
  "Name" : "Tortuga, druide",
  "VO" : "Tortle Druid",
  "Family" : "HUMANOID",
  "Species" : ["TORTUGA"],
  "FP" : "2", 
  "Size" : "M",
  "AC" : 17,
  "HP" : 33, 
  "Speed" : "",
  "Alignments" : ["4_LN"],
  "Legendary" : ""}</v>
      </c>
    </row>
    <row r="757" spans="1:16">
      <c r="A757" s="61" t="s">
        <v>5506</v>
      </c>
      <c r="B757" s="298" t="s">
        <v>5507</v>
      </c>
      <c r="C757" s="306" t="s">
        <v>5618</v>
      </c>
      <c r="D757" s="298" t="s">
        <v>5508</v>
      </c>
      <c r="E757" s="297" t="str">
        <f t="shared" si="33"/>
        <v>Humanoïde</v>
      </c>
      <c r="F757" s="297" t="str">
        <f>VLOOKUP(E757,'Types de monstres'!$A$2:$B$17,2,FALSE)</f>
        <v>HUMANOID</v>
      </c>
      <c r="G757" s="297" t="str">
        <f t="shared" si="34"/>
        <v>torve</v>
      </c>
      <c r="H757" s="297" t="str">
        <f>IF(OR(G757="",G757="toute race"),"",VLOOKUP(G757,'Types de monstres'!$F$2:$G$49,2,FALSE))</f>
        <v>TORVE</v>
      </c>
      <c r="I757" s="298" t="s">
        <v>4091</v>
      </c>
      <c r="J757" s="300">
        <v>11</v>
      </c>
      <c r="K757" s="300">
        <v>11</v>
      </c>
      <c r="L757" s="298"/>
      <c r="M757" s="298" t="s">
        <v>4118</v>
      </c>
      <c r="N757" s="297" t="str">
        <f>IF(M757="sans alignement","",IF(M757="tout alignement", """1_LB"", ""2_NB"", ""3_CB"", ""4_LN"", ""5_NN"", ""6_CN"", ""7_LM"", ""8_NM"", ""9_CM""",IF(M757="tout alignement non bon", """4_LN"", ""5_NN"", ""6_CN"", ""7_LM"", ""8_NM"", ""9_CM""",IF(M757="tout alignement mauvais", """7_LM"", ""8_NM"", ""9_CM""",IF(M757="tout alignement chaotique", """3_CB"", ""6_CN"", ""9_CM""",IF(M757="tout alignement non loyal", """2_NB"", ""3_CB"", ""5_NN"", ""6_CN"", ""8_NM"", ""9_CM""",""""&amp;VLOOKUP(M757,Alignements!$A$2:$B$10,2, FALSE)&amp;""""))))))</f>
        <v>"8_NM"</v>
      </c>
      <c r="O757" s="298"/>
      <c r="P757" t="str">
        <f t="shared" si="35"/>
        <v>"Torve": {
  "Name" : "Torve",
  "VO" : "Grimlock",
  "Family" : "HUMANOID",
  "Species" : ["TORVE"],
  "FP" : "1/4", 
  "Size" : "M",
  "AC" : 11,
  "HP" : 11, 
  "Speed" : "",
  "Alignments" : ["8_NM"],
  "Legendary" : ""}</v>
      </c>
    </row>
    <row r="758" spans="1:16">
      <c r="A758" s="61" t="s">
        <v>5509</v>
      </c>
      <c r="B758" s="297" t="s">
        <v>5510</v>
      </c>
      <c r="C758" s="305">
        <v>5</v>
      </c>
      <c r="D758" s="297" t="s">
        <v>4108</v>
      </c>
      <c r="E758" s="297" t="str">
        <f t="shared" si="33"/>
        <v>Humanoïde</v>
      </c>
      <c r="F758" s="297" t="str">
        <f>VLOOKUP(E758,'Types de monstres'!$A$2:$B$17,2,FALSE)</f>
        <v>HUMANOID</v>
      </c>
      <c r="G758" s="297" t="str">
        <f t="shared" si="34"/>
        <v>toute race</v>
      </c>
      <c r="H758" s="297" t="str">
        <f>IF(OR(G758="",G758="toute race"),"",VLOOKUP(G758,'Types de monstres'!$F$2:$G$49,2,FALSE))</f>
        <v/>
      </c>
      <c r="I758" s="297" t="s">
        <v>4091</v>
      </c>
      <c r="J758" s="302">
        <v>12</v>
      </c>
      <c r="K758" s="302">
        <v>40</v>
      </c>
      <c r="L758" s="297"/>
      <c r="M758" s="297" t="s">
        <v>4109</v>
      </c>
      <c r="N758" s="297" t="str">
        <f>IF(M758="sans alignement","",IF(M758="tout alignement", """1_LB"", ""2_NB"", ""3_CB"", ""4_LN"", ""5_NN"", ""6_CN"", ""7_LM"", ""8_NM"", ""9_CM""",IF(M758="tout alignement non bon", """4_LN"", ""5_NN"", ""6_CN"", ""7_LM"", ""8_NM"", ""9_CM""",IF(M758="tout alignement mauvais", """7_LM"", ""8_NM"", ""9_CM""",IF(M758="tout alignement chaotique", """3_CB"", ""6_CN"", ""9_CM""",IF(M758="tout alignement non loyal", """2_NB"", ""3_CB"", ""5_NN"", ""6_CN"", ""8_NM"", ""9_CM""",""""&amp;VLOOKUP(M758,Alignements!$A$2:$B$10,2, FALSE)&amp;""""))))))</f>
        <v>"1_LB", "2_NB", "3_CB", "4_LN", "5_NN", "6_CN", "7_LM", "8_NM", "9_CM"</v>
      </c>
      <c r="O758" s="297"/>
      <c r="P758" t="str">
        <f t="shared" si="35"/>
        <v>"Transmutateur": {
  "Name" : "Transmutateur",
  "VO" : "Transmuter",
  "Family" : "HUMANOID",
  "Species" : [""],
  "FP" : "5", 
  "Size" : "M",
  "AC" : 12,
  "HP" : 40, 
  "Speed" : "",
  "Alignments" : ["1_LB", "2_NB", "3_CB", "4_LN", "5_NN", "6_CN", "7_LM", "8_NM", "9_CM"],
  "Legendary" : ""}</v>
      </c>
    </row>
    <row r="759" spans="1:16" ht="21">
      <c r="A759" s="299" t="s">
        <v>5511</v>
      </c>
      <c r="B759" s="298" t="s">
        <v>5512</v>
      </c>
      <c r="C759" s="306">
        <v>6</v>
      </c>
      <c r="D759" s="298" t="s">
        <v>4121</v>
      </c>
      <c r="E759" s="297" t="str">
        <f t="shared" si="33"/>
        <v>Créature monstrueuse</v>
      </c>
      <c r="F759" s="297" t="str">
        <f>VLOOKUP(E759,'Types de monstres'!$A$2:$B$17,2,FALSE)</f>
        <v>MONSTROUS_CREATURE</v>
      </c>
      <c r="G759" s="297" t="str">
        <f t="shared" si="34"/>
        <v/>
      </c>
      <c r="H759" s="297" t="str">
        <f>IF(OR(G759="",G759="toute race"),"",VLOOKUP(G759,'Types de monstres'!$F$2:$G$49,2,FALSE))</f>
        <v/>
      </c>
      <c r="I759" s="298" t="s">
        <v>4112</v>
      </c>
      <c r="J759" s="300">
        <v>15</v>
      </c>
      <c r="K759" s="300">
        <v>90</v>
      </c>
      <c r="L759" s="298" t="s">
        <v>4092</v>
      </c>
      <c r="M759" s="298" t="s">
        <v>4118</v>
      </c>
      <c r="N759" s="297" t="str">
        <f>IF(M759="sans alignement","",IF(M759="tout alignement", """1_LB"", ""2_NB"", ""3_CB"", ""4_LN"", ""5_NN"", ""6_CN"", ""7_LM"", ""8_NM"", ""9_CM""",IF(M759="tout alignement non bon", """4_LN"", ""5_NN"", ""6_CN"", ""7_LM"", ""8_NM"", ""9_CM""",IF(M759="tout alignement mauvais", """7_LM"", ""8_NM"", ""9_CM""",IF(M759="tout alignement chaotique", """3_CB"", ""6_CN"", ""9_CM""",IF(M759="tout alignement non loyal", """2_NB"", ""3_CB"", ""5_NN"", ""6_CN"", ""8_NM"", ""9_CM""",""""&amp;VLOOKUP(M759,Alignements!$A$2:$B$10,2, FALSE)&amp;""""))))))</f>
        <v>"8_NM"</v>
      </c>
      <c r="O759" s="298"/>
      <c r="P759" t="str">
        <f t="shared" si="35"/>
        <v>"Traqueur des ténèbres": {
  "Name" : "Traqueur des ténèbres",
  "VO" : "Gloomstalker",
  "Family" : "MONSTROUS_CREATURE",
  "Species" : [""],
  "FP" : "6", 
  "Size" : "G",
  "AC" : 15,
  "HP" : 90, 
  "Speed" : "vol",
  "Alignments" : ["8_NM"],
  "Legendary" : ""}</v>
      </c>
    </row>
    <row r="760" spans="1:16">
      <c r="A760" s="61" t="s">
        <v>5513</v>
      </c>
      <c r="B760" s="297" t="s">
        <v>5514</v>
      </c>
      <c r="C760" s="305">
        <v>3</v>
      </c>
      <c r="D760" s="297" t="s">
        <v>4376</v>
      </c>
      <c r="E760" s="297" t="str">
        <f t="shared" si="33"/>
        <v>Vase</v>
      </c>
      <c r="F760" s="297" t="str">
        <f>VLOOKUP(E760,'Types de monstres'!$A$2:$B$17,2,FALSE)</f>
        <v>MUD</v>
      </c>
      <c r="G760" s="297" t="str">
        <f t="shared" si="34"/>
        <v/>
      </c>
      <c r="H760" s="297" t="str">
        <f>IF(OR(G760="",G760="toute race"),"",VLOOKUP(G760,'Types de monstres'!$F$2:$G$49,2,FALSE))</f>
        <v/>
      </c>
      <c r="I760" s="297" t="s">
        <v>4091</v>
      </c>
      <c r="J760" s="302">
        <v>14</v>
      </c>
      <c r="K760" s="302">
        <v>32</v>
      </c>
      <c r="L760" s="297" t="s">
        <v>4113</v>
      </c>
      <c r="M760" s="297" t="s">
        <v>4137</v>
      </c>
      <c r="N760" s="297" t="str">
        <f>IF(M760="sans alignement","",IF(M760="tout alignement", """1_LB"", ""2_NB"", ""3_CB"", ""4_LN"", ""5_NN"", ""6_CN"", ""7_LM"", ""8_NM"", ""9_CM""",IF(M760="tout alignement non bon", """4_LN"", ""5_NN"", ""6_CN"", ""7_LM"", ""8_NM"", ""9_CM""",IF(M760="tout alignement mauvais", """7_LM"", ""8_NM"", ""9_CM""",IF(M760="tout alignement chaotique", """3_CB"", ""6_CN"", ""9_CM""",IF(M760="tout alignement non loyal", """2_NB"", ""3_CB"", ""5_NN"", ""6_CN"", ""8_NM"", ""9_CM""",""""&amp;VLOOKUP(M760,Alignements!$A$2:$B$10,2, FALSE)&amp;""""))))))</f>
        <v>"9_CM"</v>
      </c>
      <c r="O760" s="297"/>
      <c r="P760" t="str">
        <f t="shared" si="35"/>
        <v>"Traqueur gluant": {
  "Name" : "Traqueur gluant",
  "VO" : "Slithering Tracker",
  "Family" : "MUD",
  "Species" : [""],
  "FP" : "3", 
  "Size" : "M",
  "AC" : 14,
  "HP" : 32, 
  "Speed" : "nage",
  "Alignments" : ["9_CM"],
  "Legendary" : ""}</v>
      </c>
    </row>
    <row r="761" spans="1:16">
      <c r="A761" s="61" t="s">
        <v>5515</v>
      </c>
      <c r="B761" s="298" t="s">
        <v>5516</v>
      </c>
      <c r="C761" s="306">
        <v>6</v>
      </c>
      <c r="D761" s="298" t="s">
        <v>4189</v>
      </c>
      <c r="E761" s="297" t="str">
        <f t="shared" si="33"/>
        <v>Élémentaire</v>
      </c>
      <c r="F761" s="297" t="str">
        <f>VLOOKUP(E761,'Types de monstres'!$A$2:$B$17,2,FALSE)</f>
        <v>ELEMENTARY</v>
      </c>
      <c r="G761" s="297" t="str">
        <f t="shared" si="34"/>
        <v/>
      </c>
      <c r="H761" s="297" t="str">
        <f>IF(OR(G761="",G761="toute race"),"",VLOOKUP(G761,'Types de monstres'!$F$2:$G$49,2,FALSE))</f>
        <v/>
      </c>
      <c r="I761" s="298" t="s">
        <v>4091</v>
      </c>
      <c r="J761" s="300">
        <v>14</v>
      </c>
      <c r="K761" s="300">
        <v>104</v>
      </c>
      <c r="L761" s="298" t="s">
        <v>4092</v>
      </c>
      <c r="M761" s="298" t="s">
        <v>4193</v>
      </c>
      <c r="N761" s="297" t="str">
        <f>IF(M761="sans alignement","",IF(M761="tout alignement", """1_LB"", ""2_NB"", ""3_CB"", ""4_LN"", ""5_NN"", ""6_CN"", ""7_LM"", ""8_NM"", ""9_CM""",IF(M761="tout alignement non bon", """4_LN"", ""5_NN"", ""6_CN"", ""7_LM"", ""8_NM"", ""9_CM""",IF(M761="tout alignement mauvais", """7_LM"", ""8_NM"", ""9_CM""",IF(M761="tout alignement chaotique", """3_CB"", ""6_CN"", ""9_CM""",IF(M761="tout alignement non loyal", """2_NB"", ""3_CB"", ""5_NN"", ""6_CN"", ""8_NM"", ""9_CM""",""""&amp;VLOOKUP(M761,Alignements!$A$2:$B$10,2, FALSE)&amp;""""))))))</f>
        <v>"5_NN"</v>
      </c>
      <c r="O761" s="298"/>
      <c r="P761" t="str">
        <f t="shared" si="35"/>
        <v>"Traqueur invisible": {
  "Name" : "Traqueur invisible",
  "VO" : "Invisible Stalker",
  "Family" : "ELEMENTARY",
  "Species" : [""],
  "FP" : "6", 
  "Size" : "M",
  "AC" : 14,
  "HP" : 104, 
  "Speed" : "vol",
  "Alignments" : ["5_NN"],
  "Legendary" : ""}</v>
      </c>
    </row>
    <row r="762" spans="1:16">
      <c r="A762" s="61" t="s">
        <v>5517</v>
      </c>
      <c r="B762" s="297" t="s">
        <v>5518</v>
      </c>
      <c r="C762" s="305">
        <v>5</v>
      </c>
      <c r="D762" s="297" t="s">
        <v>4128</v>
      </c>
      <c r="E762" s="297" t="str">
        <f t="shared" si="33"/>
        <v>Bête</v>
      </c>
      <c r="F762" s="297" t="str">
        <f>VLOOKUP(E762,'Types de monstres'!$A$2:$B$17,2,FALSE)</f>
        <v>BEAST</v>
      </c>
      <c r="G762" s="297" t="str">
        <f t="shared" si="34"/>
        <v/>
      </c>
      <c r="H762" s="297" t="str">
        <f>IF(OR(G762="",G762="toute race"),"",VLOOKUP(G762,'Types de monstres'!$F$2:$G$49,2,FALSE))</f>
        <v/>
      </c>
      <c r="I762" s="297" t="s">
        <v>4149</v>
      </c>
      <c r="J762" s="302">
        <v>13</v>
      </c>
      <c r="K762" s="302">
        <v>95</v>
      </c>
      <c r="L762" s="297"/>
      <c r="M762" s="297" t="s">
        <v>4130</v>
      </c>
      <c r="N762" s="297" t="str">
        <f>IF(M762="sans alignement","",IF(M762="tout alignement", """1_LB"", ""2_NB"", ""3_CB"", ""4_LN"", ""5_NN"", ""6_CN"", ""7_LM"", ""8_NM"", ""9_CM""",IF(M762="tout alignement non bon", """4_LN"", ""5_NN"", ""6_CN"", ""7_LM"", ""8_NM"", ""9_CM""",IF(M762="tout alignement mauvais", """7_LM"", ""8_NM"", ""9_CM""",IF(M762="tout alignement chaotique", """3_CB"", ""6_CN"", ""9_CM""",IF(M762="tout alignement non loyal", """2_NB"", ""3_CB"", ""5_NN"", ""6_CN"", ""8_NM"", ""9_CM""",""""&amp;VLOOKUP(M762,Alignements!$A$2:$B$10,2, FALSE)&amp;""""))))))</f>
        <v/>
      </c>
      <c r="O762" s="297"/>
      <c r="P762" t="str">
        <f t="shared" si="35"/>
        <v>"Tricératops": {
  "Name" : "Tricératops",
  "VO" : "Triceratops",
  "Family" : "BEAST",
  "Species" : [""],
  "FP" : "5", 
  "Size" : "TG",
  "AC" : 13,
  "HP" : 95, 
  "Speed" : "",
  "Alignments" : [],
  "Legendary" : ""}</v>
      </c>
    </row>
    <row r="763" spans="1:16">
      <c r="A763" s="61" t="s">
        <v>5519</v>
      </c>
      <c r="B763" s="298" t="s">
        <v>5519</v>
      </c>
      <c r="C763" s="306" t="s">
        <v>5620</v>
      </c>
      <c r="D763" s="298" t="s">
        <v>4181</v>
      </c>
      <c r="E763" s="297" t="str">
        <f t="shared" si="33"/>
        <v>Créature artificielle</v>
      </c>
      <c r="F763" s="297" t="str">
        <f>VLOOKUP(E763,'Types de monstres'!$A$2:$B$17,2,FALSE)</f>
        <v>ARTIFICIAL_CREATURE</v>
      </c>
      <c r="G763" s="297" t="str">
        <f t="shared" si="34"/>
        <v/>
      </c>
      <c r="H763" s="297" t="str">
        <f>IF(OR(G763="",G763="toute race"),"",VLOOKUP(G763,'Types de monstres'!$F$2:$G$49,2,FALSE))</f>
        <v/>
      </c>
      <c r="I763" s="298" t="s">
        <v>4091</v>
      </c>
      <c r="J763" s="300">
        <v>15</v>
      </c>
      <c r="K763" s="300">
        <v>16</v>
      </c>
      <c r="L763" s="298"/>
      <c r="M763" s="298" t="s">
        <v>4145</v>
      </c>
      <c r="N763" s="297" t="str">
        <f>IF(M763="sans alignement","",IF(M763="tout alignement", """1_LB"", ""2_NB"", ""3_CB"", ""4_LN"", ""5_NN"", ""6_CN"", ""7_LM"", ""8_NM"", ""9_CM""",IF(M763="tout alignement non bon", """4_LN"", ""5_NN"", ""6_CN"", ""7_LM"", ""8_NM"", ""9_CM""",IF(M763="tout alignement mauvais", """7_LM"", ""8_NM"", ""9_CM""",IF(M763="tout alignement chaotique", """3_CB"", ""6_CN"", ""9_CM""",IF(M763="tout alignement non loyal", """2_NB"", ""3_CB"", ""5_NN"", ""6_CN"", ""8_NM"", ""9_CM""",""""&amp;VLOOKUP(M763,Alignements!$A$2:$B$10,2, FALSE)&amp;""""))))))</f>
        <v>"4_LN"</v>
      </c>
      <c r="O763" s="298"/>
      <c r="P763" t="str">
        <f t="shared" si="35"/>
        <v>"Tridrone": {
  "Name" : "Tridrone",
  "VO" : "Tridrone",
  "Family" : "ARTIFICIAL_CREATURE",
  "Species" : [""],
  "FP" : "1/2", 
  "Size" : "M",
  "AC" : 15,
  "HP" : 16, 
  "Speed" : "",
  "Alignments" : ["4_LN"],
  "Legendary" : ""}</v>
      </c>
    </row>
    <row r="764" spans="1:16" ht="21">
      <c r="A764" s="301" t="s">
        <v>5520</v>
      </c>
      <c r="B764" s="297" t="s">
        <v>5521</v>
      </c>
      <c r="C764" s="305" t="s">
        <v>5620</v>
      </c>
      <c r="D764" s="297" t="s">
        <v>5522</v>
      </c>
      <c r="E764" s="297" t="str">
        <f t="shared" si="33"/>
        <v>Humanoïde</v>
      </c>
      <c r="F764" s="297" t="str">
        <f>VLOOKUP(E764,'Types de monstres'!$A$2:$B$17,2,FALSE)</f>
        <v>HUMANOID</v>
      </c>
      <c r="G764" s="297" t="str">
        <f t="shared" si="34"/>
        <v>triton du feu</v>
      </c>
      <c r="H764" s="297" t="str">
        <f>IF(OR(G764="",G764="toute race"),"",VLOOKUP(G764,'Types de monstres'!$F$2:$G$49,2,FALSE))</f>
        <v>FIRE_NEWT</v>
      </c>
      <c r="I764" s="297" t="s">
        <v>4091</v>
      </c>
      <c r="J764" s="302">
        <v>16</v>
      </c>
      <c r="K764" s="302">
        <v>22</v>
      </c>
      <c r="L764" s="297"/>
      <c r="M764" s="297" t="s">
        <v>4118</v>
      </c>
      <c r="N764" s="297" t="str">
        <f>IF(M764="sans alignement","",IF(M764="tout alignement", """1_LB"", ""2_NB"", ""3_CB"", ""4_LN"", ""5_NN"", ""6_CN"", ""7_LM"", ""8_NM"", ""9_CM""",IF(M764="tout alignement non bon", """4_LN"", ""5_NN"", ""6_CN"", ""7_LM"", ""8_NM"", ""9_CM""",IF(M764="tout alignement mauvais", """7_LM"", ""8_NM"", ""9_CM""",IF(M764="tout alignement chaotique", """3_CB"", ""6_CN"", ""9_CM""",IF(M764="tout alignement non loyal", """2_NB"", ""3_CB"", ""5_NN"", ""6_CN"", ""8_NM"", ""9_CM""",""""&amp;VLOOKUP(M764,Alignements!$A$2:$B$10,2, FALSE)&amp;""""))))))</f>
        <v>"8_NM"</v>
      </c>
      <c r="O764" s="297"/>
      <c r="P764" t="str">
        <f t="shared" si="35"/>
        <v>"Triton du feu, guerrier": {
  "Name" : "Triton du feu, guerrier",
  "VO" : "Firenewt Warrior",
  "Family" : "HUMANOID",
  "Species" : ["FIRE_NEWT"],
  "FP" : "1/2", 
  "Size" : "M",
  "AC" : 16,
  "HP" : 22, 
  "Speed" : "",
  "Alignments" : ["8_NM"],
  "Legendary" : ""}</v>
      </c>
    </row>
    <row r="765" spans="1:16" ht="21">
      <c r="A765" s="299" t="s">
        <v>5523</v>
      </c>
      <c r="B765" s="298" t="s">
        <v>5524</v>
      </c>
      <c r="C765" s="306">
        <v>1</v>
      </c>
      <c r="D765" s="298" t="s">
        <v>5522</v>
      </c>
      <c r="E765" s="297" t="str">
        <f t="shared" si="33"/>
        <v>Humanoïde</v>
      </c>
      <c r="F765" s="297" t="str">
        <f>VLOOKUP(E765,'Types de monstres'!$A$2:$B$17,2,FALSE)</f>
        <v>HUMANOID</v>
      </c>
      <c r="G765" s="297" t="str">
        <f t="shared" si="34"/>
        <v>triton du feu</v>
      </c>
      <c r="H765" s="297" t="str">
        <f>IF(OR(G765="",G765="toute race"),"",VLOOKUP(G765,'Types de monstres'!$F$2:$G$49,2,FALSE))</f>
        <v>FIRE_NEWT</v>
      </c>
      <c r="I765" s="298" t="s">
        <v>4091</v>
      </c>
      <c r="J765" s="300">
        <v>10</v>
      </c>
      <c r="K765" s="300">
        <v>33</v>
      </c>
      <c r="L765" s="298"/>
      <c r="M765" s="298" t="s">
        <v>4118</v>
      </c>
      <c r="N765" s="297" t="str">
        <f>IF(M765="sans alignement","",IF(M765="tout alignement", """1_LB"", ""2_NB"", ""3_CB"", ""4_LN"", ""5_NN"", ""6_CN"", ""7_LM"", ""8_NM"", ""9_CM""",IF(M765="tout alignement non bon", """4_LN"", ""5_NN"", ""6_CN"", ""7_LM"", ""8_NM"", ""9_CM""",IF(M765="tout alignement mauvais", """7_LM"", ""8_NM"", ""9_CM""",IF(M765="tout alignement chaotique", """3_CB"", ""6_CN"", ""9_CM""",IF(M765="tout alignement non loyal", """2_NB"", ""3_CB"", ""5_NN"", ""6_CN"", ""8_NM"", ""9_CM""",""""&amp;VLOOKUP(M765,Alignements!$A$2:$B$10,2, FALSE)&amp;""""))))))</f>
        <v>"8_NM"</v>
      </c>
      <c r="O765" s="298"/>
      <c r="P765" t="str">
        <f t="shared" si="35"/>
        <v>"Triton du feu, sorcier d'Imix": {
  "Name" : "Triton du feu, sorcier d'Imix",
  "VO" : "Firenewt Warlock of Imix",
  "Family" : "HUMANOID",
  "Species" : ["FIRE_NEWT"],
  "FP" : "1", 
  "Size" : "M",
  "AC" : 10,
  "HP" : 33, 
  "Speed" : "",
  "Alignments" : ["8_NM"],
  "Legendary" : ""}</v>
      </c>
    </row>
    <row r="766" spans="1:16">
      <c r="A766" s="61" t="s">
        <v>5525</v>
      </c>
      <c r="B766" s="297" t="s">
        <v>5525</v>
      </c>
      <c r="C766" s="305">
        <v>7</v>
      </c>
      <c r="D766" s="297" t="s">
        <v>4242</v>
      </c>
      <c r="E766" s="297" t="str">
        <f t="shared" si="33"/>
        <v>Humanoïde</v>
      </c>
      <c r="F766" s="297" t="str">
        <f>VLOOKUP(E766,'Types de monstres'!$A$2:$B$17,2,FALSE)</f>
        <v>HUMANOID</v>
      </c>
      <c r="G766" s="297" t="str">
        <f t="shared" si="34"/>
        <v>humain</v>
      </c>
      <c r="H766" s="297" t="str">
        <f>IF(OR(G766="",G766="toute race"),"",VLOOKUP(G766,'Types de monstres'!$F$2:$G$49,2,FALSE))</f>
        <v>HUMAN</v>
      </c>
      <c r="I766" s="297" t="s">
        <v>4091</v>
      </c>
      <c r="J766" s="302">
        <v>10</v>
      </c>
      <c r="K766" s="302">
        <v>90</v>
      </c>
      <c r="L766" s="297"/>
      <c r="M766" s="297" t="s">
        <v>4097</v>
      </c>
      <c r="N766" s="297" t="str">
        <f>IF(M766="sans alignement","",IF(M766="tout alignement", """1_LB"", ""2_NB"", ""3_CB"", ""4_LN"", ""5_NN"", ""6_CN"", ""7_LM"", ""8_NM"", ""9_CM""",IF(M766="tout alignement non bon", """4_LN"", ""5_NN"", ""6_CN"", ""7_LM"", ""8_NM"", ""9_CM""",IF(M766="tout alignement mauvais", """7_LM"", ""8_NM"", ""9_CM""",IF(M766="tout alignement chaotique", """3_CB"", ""6_CN"", ""9_CM""",IF(M766="tout alignement non loyal", """2_NB"", ""3_CB"", ""5_NN"", ""6_CN"", ""8_NM"", ""9_CM""",""""&amp;VLOOKUP(M766,Alignements!$A$2:$B$10,2, FALSE)&amp;""""))))))</f>
        <v>"7_LM"</v>
      </c>
      <c r="O766" s="297"/>
      <c r="P766" t="str">
        <f t="shared" si="35"/>
        <v>"Tritsir": {
  "Name" : "Tritsir",
  "VO" : "Tritsir",
  "Family" : "HUMANOID",
  "Species" : ["HUMAN"],
  "FP" : "7", 
  "Size" : "M",
  "AC" : 10,
  "HP" : 90, 
  "Speed" : "",
  "Alignments" : ["7_LM"],
  "Legendary" : ""}</v>
      </c>
    </row>
    <row r="767" spans="1:16">
      <c r="A767" s="61" t="s">
        <v>5526</v>
      </c>
      <c r="B767" s="298" t="s">
        <v>5526</v>
      </c>
      <c r="C767" s="306" t="s">
        <v>5618</v>
      </c>
      <c r="D767" s="298" t="s">
        <v>5527</v>
      </c>
      <c r="E767" s="297" t="str">
        <f t="shared" si="33"/>
        <v>Humanoïde</v>
      </c>
      <c r="F767" s="297" t="str">
        <f>VLOOKUP(E767,'Types de monstres'!$A$2:$B$17,2,FALSE)</f>
        <v>HUMANOID</v>
      </c>
      <c r="G767" s="297" t="str">
        <f t="shared" si="34"/>
        <v>troglodyte</v>
      </c>
      <c r="H767" s="297" t="str">
        <f>IF(OR(G767="",G767="toute race"),"",VLOOKUP(G767,'Types de monstres'!$F$2:$G$49,2,FALSE))</f>
        <v>TROGLODYTE</v>
      </c>
      <c r="I767" s="298" t="s">
        <v>4091</v>
      </c>
      <c r="J767" s="300">
        <v>11</v>
      </c>
      <c r="K767" s="300">
        <v>13</v>
      </c>
      <c r="L767" s="298"/>
      <c r="M767" s="298" t="s">
        <v>4137</v>
      </c>
      <c r="N767" s="297" t="str">
        <f>IF(M767="sans alignement","",IF(M767="tout alignement", """1_LB"", ""2_NB"", ""3_CB"", ""4_LN"", ""5_NN"", ""6_CN"", ""7_LM"", ""8_NM"", ""9_CM""",IF(M767="tout alignement non bon", """4_LN"", ""5_NN"", ""6_CN"", ""7_LM"", ""8_NM"", ""9_CM""",IF(M767="tout alignement mauvais", """7_LM"", ""8_NM"", ""9_CM""",IF(M767="tout alignement chaotique", """3_CB"", ""6_CN"", ""9_CM""",IF(M767="tout alignement non loyal", """2_NB"", ""3_CB"", ""5_NN"", ""6_CN"", ""8_NM"", ""9_CM""",""""&amp;VLOOKUP(M767,Alignements!$A$2:$B$10,2, FALSE)&amp;""""))))))</f>
        <v>"9_CM"</v>
      </c>
      <c r="O767" s="298"/>
      <c r="P767" t="str">
        <f t="shared" si="35"/>
        <v>"Troglodyte": {
  "Name" : "Troglodyte",
  "VO" : "Troglodyte",
  "Family" : "HUMANOID",
  "Species" : ["TROGLODYTE"],
  "FP" : "1/4", 
  "Size" : "M",
  "AC" : 11,
  "HP" : 13, 
  "Speed" : "",
  "Alignments" : ["9_CM"],
  "Legendary" : ""}</v>
      </c>
    </row>
    <row r="768" spans="1:16">
      <c r="A768" s="61" t="s">
        <v>5528</v>
      </c>
      <c r="B768" s="297" t="s">
        <v>5528</v>
      </c>
      <c r="C768" s="305">
        <v>5</v>
      </c>
      <c r="D768" s="297" t="s">
        <v>2584</v>
      </c>
      <c r="E768" s="297" t="str">
        <f t="shared" si="33"/>
        <v>Géant</v>
      </c>
      <c r="F768" s="297" t="str">
        <f>VLOOKUP(E768,'Types de monstres'!$A$2:$B$17,2,FALSE)</f>
        <v>GIANT</v>
      </c>
      <c r="G768" s="297" t="str">
        <f t="shared" si="34"/>
        <v/>
      </c>
      <c r="H768" s="297" t="str">
        <f>IF(OR(G768="",G768="toute race"),"",VLOOKUP(G768,'Types de monstres'!$F$2:$G$49,2,FALSE))</f>
        <v/>
      </c>
      <c r="I768" s="297" t="s">
        <v>4112</v>
      </c>
      <c r="J768" s="302">
        <v>15</v>
      </c>
      <c r="K768" s="302">
        <v>84</v>
      </c>
      <c r="L768" s="297"/>
      <c r="M768" s="297" t="s">
        <v>4137</v>
      </c>
      <c r="N768" s="297" t="str">
        <f>IF(M768="sans alignement","",IF(M768="tout alignement", """1_LB"", ""2_NB"", ""3_CB"", ""4_LN"", ""5_NN"", ""6_CN"", ""7_LM"", ""8_NM"", ""9_CM""",IF(M768="tout alignement non bon", """4_LN"", ""5_NN"", ""6_CN"", ""7_LM"", ""8_NM"", ""9_CM""",IF(M768="tout alignement mauvais", """7_LM"", ""8_NM"", ""9_CM""",IF(M768="tout alignement chaotique", """3_CB"", ""6_CN"", ""9_CM""",IF(M768="tout alignement non loyal", """2_NB"", ""3_CB"", ""5_NN"", ""6_CN"", ""8_NM"", ""9_CM""",""""&amp;VLOOKUP(M768,Alignements!$A$2:$B$10,2, FALSE)&amp;""""))))))</f>
        <v>"9_CM"</v>
      </c>
      <c r="O768" s="297"/>
      <c r="P768" t="str">
        <f t="shared" si="35"/>
        <v>"Troll": {
  "Name" : "Troll",
  "VO" : "Troll",
  "Family" : "GIANT",
  "Species" : [""],
  "FP" : "5", 
  "Size" : "G",
  "AC" : 15,
  "HP" : 84, 
  "Speed" : "",
  "Alignments" : ["9_CM"],
  "Legendary" : ""}</v>
      </c>
    </row>
    <row r="769" spans="1:16">
      <c r="A769" s="299" t="s">
        <v>5529</v>
      </c>
      <c r="B769" s="298" t="s">
        <v>5530</v>
      </c>
      <c r="C769" s="306">
        <v>9</v>
      </c>
      <c r="D769" s="298" t="s">
        <v>2584</v>
      </c>
      <c r="E769" s="297" t="str">
        <f t="shared" si="33"/>
        <v>Géant</v>
      </c>
      <c r="F769" s="297" t="str">
        <f>VLOOKUP(E769,'Types de monstres'!$A$2:$B$17,2,FALSE)</f>
        <v>GIANT</v>
      </c>
      <c r="G769" s="297" t="str">
        <f t="shared" si="34"/>
        <v/>
      </c>
      <c r="H769" s="297" t="str">
        <f>IF(OR(G769="",G769="toute race"),"",VLOOKUP(G769,'Types de monstres'!$F$2:$G$49,2,FALSE))</f>
        <v/>
      </c>
      <c r="I769" s="298" t="s">
        <v>4112</v>
      </c>
      <c r="J769" s="300">
        <v>16</v>
      </c>
      <c r="K769" s="300">
        <v>138</v>
      </c>
      <c r="L769" s="298"/>
      <c r="M769" s="298" t="s">
        <v>4137</v>
      </c>
      <c r="N769" s="297" t="str">
        <f>IF(M769="sans alignement","",IF(M769="tout alignement", """1_LB"", ""2_NB"", ""3_CB"", ""4_LN"", ""5_NN"", ""6_CN"", ""7_LM"", ""8_NM"", ""9_CM""",IF(M769="tout alignement non bon", """4_LN"", ""5_NN"", ""6_CN"", ""7_LM"", ""8_NM"", ""9_CM""",IF(M769="tout alignement mauvais", """7_LM"", ""8_NM"", ""9_CM""",IF(M769="tout alignement chaotique", """3_CB"", ""6_CN"", ""9_CM""",IF(M769="tout alignement non loyal", """2_NB"", ""3_CB"", ""5_NN"", ""6_CN"", ""8_NM"", ""9_CM""",""""&amp;VLOOKUP(M769,Alignements!$A$2:$B$10,2, FALSE)&amp;""""))))))</f>
        <v>"9_CM"</v>
      </c>
      <c r="O769" s="298"/>
      <c r="P769" t="str">
        <f t="shared" si="35"/>
        <v>"Troll pourrissant": {
  "Name" : "Troll pourrissant",
  "VO" : "Rot Troll",
  "Family" : "GIANT",
  "Species" : [""],
  "FP" : "9", 
  "Size" : "G",
  "AC" : 16,
  "HP" : 138, 
  "Speed" : "",
  "Alignments" : ["9_CM"],
  "Legendary" : ""}</v>
      </c>
    </row>
    <row r="770" spans="1:16">
      <c r="A770" s="301" t="s">
        <v>5531</v>
      </c>
      <c r="B770" s="297" t="s">
        <v>5532</v>
      </c>
      <c r="C770" s="305">
        <v>11</v>
      </c>
      <c r="D770" s="297" t="s">
        <v>2584</v>
      </c>
      <c r="E770" s="297" t="str">
        <f t="shared" si="33"/>
        <v>Géant</v>
      </c>
      <c r="F770" s="297" t="str">
        <f>VLOOKUP(E770,'Types de monstres'!$A$2:$B$17,2,FALSE)</f>
        <v>GIANT</v>
      </c>
      <c r="G770" s="297" t="str">
        <f t="shared" si="34"/>
        <v/>
      </c>
      <c r="H770" s="297" t="str">
        <f>IF(OR(G770="",G770="toute race"),"",VLOOKUP(G770,'Types de monstres'!$F$2:$G$49,2,FALSE))</f>
        <v/>
      </c>
      <c r="I770" s="297" t="s">
        <v>4112</v>
      </c>
      <c r="J770" s="302">
        <v>17</v>
      </c>
      <c r="K770" s="302">
        <v>97</v>
      </c>
      <c r="L770" s="297"/>
      <c r="M770" s="297" t="s">
        <v>4137</v>
      </c>
      <c r="N770" s="297" t="str">
        <f>IF(M770="sans alignement","",IF(M770="tout alignement", """1_LB"", ""2_NB"", ""3_CB"", ""4_LN"", ""5_NN"", ""6_CN"", ""7_LM"", ""8_NM"", ""9_CM""",IF(M770="tout alignement non bon", """4_LN"", ""5_NN"", ""6_CN"", ""7_LM"", ""8_NM"", ""9_CM""",IF(M770="tout alignement mauvais", """7_LM"", ""8_NM"", ""9_CM""",IF(M770="tout alignement chaotique", """3_CB"", ""6_CN"", ""9_CM""",IF(M770="tout alignement non loyal", """2_NB"", ""3_CB"", ""5_NN"", ""6_CN"", ""8_NM"", ""9_CM""",""""&amp;VLOOKUP(M770,Alignements!$A$2:$B$10,2, FALSE)&amp;""""))))))</f>
        <v>"9_CM"</v>
      </c>
      <c r="O770" s="297"/>
      <c r="P770" t="str">
        <f t="shared" si="35"/>
        <v>"Troll psychique": {
  "Name" : "Troll psychique",
  "VO" : "Spirit Troll",
  "Family" : "GIANT",
  "Species" : [""],
  "FP" : "11", 
  "Size" : "G",
  "AC" : 17,
  "HP" : 97, 
  "Speed" : "",
  "Alignments" : ["9_CM"],
  "Legendary" : ""}</v>
      </c>
    </row>
    <row r="771" spans="1:16">
      <c r="A771" s="299" t="s">
        <v>5533</v>
      </c>
      <c r="B771" s="298" t="s">
        <v>5534</v>
      </c>
      <c r="C771" s="306">
        <v>13</v>
      </c>
      <c r="D771" s="298" t="s">
        <v>2584</v>
      </c>
      <c r="E771" s="297" t="str">
        <f t="shared" ref="E771:E820" si="36">IF(ISERROR( FIND("(",D771) ),D771,LEFT(D771, FIND("(",D771)-2))</f>
        <v>Géant</v>
      </c>
      <c r="F771" s="297" t="str">
        <f>VLOOKUP(E771,'Types de monstres'!$A$2:$B$17,2,FALSE)</f>
        <v>GIANT</v>
      </c>
      <c r="G771" s="297" t="str">
        <f t="shared" ref="G771:G820" si="37">IF(ISERROR( FIND("(",D771) ),"",RIGHT(LEFT(D771,LEN(D771)-1), LEN(D771)-FIND("(",D771)-1))</f>
        <v/>
      </c>
      <c r="H771" s="297" t="str">
        <f>IF(OR(G771="",G771="toute race"),"",VLOOKUP(G771,'Types de monstres'!$F$2:$G$49,2,FALSE))</f>
        <v/>
      </c>
      <c r="I771" s="298" t="s">
        <v>4149</v>
      </c>
      <c r="J771" s="300">
        <v>15</v>
      </c>
      <c r="K771" s="300">
        <v>172</v>
      </c>
      <c r="L771" s="298"/>
      <c r="M771" s="298" t="s">
        <v>4137</v>
      </c>
      <c r="N771" s="297" t="str">
        <f>IF(M771="sans alignement","",IF(M771="tout alignement", """1_LB"", ""2_NB"", ""3_CB"", ""4_LN"", ""5_NN"", ""6_CN"", ""7_LM"", ""8_NM"", ""9_CM""",IF(M771="tout alignement non bon", """4_LN"", ""5_NN"", ""6_CN"", ""7_LM"", ""8_NM"", ""9_CM""",IF(M771="tout alignement mauvais", """7_LM"", ""8_NM"", ""9_CM""",IF(M771="tout alignement chaotique", """3_CB"", ""6_CN"", ""9_CM""",IF(M771="tout alignement non loyal", """2_NB"", ""3_CB"", ""5_NN"", ""6_CN"", ""8_NM"", ""9_CM""",""""&amp;VLOOKUP(M771,Alignements!$A$2:$B$10,2, FALSE)&amp;""""))))))</f>
        <v>"9_CM"</v>
      </c>
      <c r="O771" s="298"/>
      <c r="P771" t="str">
        <f t="shared" ref="P771:P820" si="38">""""&amp;A771&amp;""": {
  ""Name"" : """&amp;A771&amp;""",
  ""VO"" : """&amp;B771&amp;""",
  ""Family"" : """&amp;F771&amp;""",
  ""Species"" : ["""&amp;SUBSTITUTE(H771,", ",""", """)&amp;"""],
  ""FP"" : """&amp;SUBSTITUTE(C771,"""","")&amp;""", 
  ""Size"" : """&amp;I771&amp;""",
  ""AC"" : "&amp;J771&amp;",
  ""HP"" : "&amp;K771&amp;", 
  ""Speed"" : """&amp;L771&amp;""",
  ""Alignments"" : ["&amp;N771&amp;"],
  ""Legendary"" : """&amp;O771&amp;"""}"</f>
        <v>"Troll sanguinaire": {
  "Name" : "Troll sanguinaire",
  "VO" : "Dire Troll",
  "Family" : "GIANT",
  "Species" : [""],
  "FP" : "13", 
  "Size" : "TG",
  "AC" : 15,
  "HP" : 172, 
  "Speed" : "",
  "Alignments" : ["9_CM"],
  "Legendary" : ""}</v>
      </c>
    </row>
    <row r="772" spans="1:16">
      <c r="A772" s="301" t="s">
        <v>5535</v>
      </c>
      <c r="B772" s="297" t="s">
        <v>5536</v>
      </c>
      <c r="C772" s="305">
        <v>7</v>
      </c>
      <c r="D772" s="297" t="s">
        <v>2584</v>
      </c>
      <c r="E772" s="297" t="str">
        <f t="shared" si="36"/>
        <v>Géant</v>
      </c>
      <c r="F772" s="297" t="str">
        <f>VLOOKUP(E772,'Types de monstres'!$A$2:$B$17,2,FALSE)</f>
        <v>GIANT</v>
      </c>
      <c r="G772" s="297" t="str">
        <f t="shared" si="37"/>
        <v/>
      </c>
      <c r="H772" s="297" t="str">
        <f>IF(OR(G772="",G772="toute race"),"",VLOOKUP(G772,'Types de monstres'!$F$2:$G$49,2,FALSE))</f>
        <v/>
      </c>
      <c r="I772" s="297" t="s">
        <v>4112</v>
      </c>
      <c r="J772" s="302">
        <v>15</v>
      </c>
      <c r="K772" s="302">
        <v>94</v>
      </c>
      <c r="L772" s="297"/>
      <c r="M772" s="297" t="s">
        <v>4137</v>
      </c>
      <c r="N772" s="297" t="str">
        <f>IF(M772="sans alignement","",IF(M772="tout alignement", """1_LB"", ""2_NB"", ""3_CB"", ""4_LN"", ""5_NN"", ""6_CN"", ""7_LM"", ""8_NM"", ""9_CM""",IF(M772="tout alignement non bon", """4_LN"", ""5_NN"", ""6_CN"", ""7_LM"", ""8_NM"", ""9_CM""",IF(M772="tout alignement mauvais", """7_LM"", ""8_NM"", ""9_CM""",IF(M772="tout alignement chaotique", """3_CB"", ""6_CN"", ""9_CM""",IF(M772="tout alignement non loyal", """2_NB"", ""3_CB"", ""5_NN"", ""6_CN"", ""8_NM"", ""9_CM""",""""&amp;VLOOKUP(M772,Alignements!$A$2:$B$10,2, FALSE)&amp;""""))))))</f>
        <v>"9_CM"</v>
      </c>
      <c r="O772" s="297"/>
      <c r="P772" t="str">
        <f t="shared" si="38"/>
        <v>"Troll venin": {
  "Name" : "Troll venin",
  "VO" : "Venom Troll",
  "Family" : "GIANT",
  "Species" : [""],
  "FP" : "7", 
  "Size" : "G",
  "AC" : 15,
  "HP" : 94, 
  "Speed" : "",
  "Alignments" : ["9_CM"],
  "Legendary" : ""}</v>
      </c>
    </row>
    <row r="773" spans="1:16">
      <c r="A773" s="61" t="s">
        <v>5537</v>
      </c>
      <c r="B773" s="298" t="s">
        <v>5538</v>
      </c>
      <c r="C773" s="306">
        <v>14</v>
      </c>
      <c r="D773" s="298" t="s">
        <v>4117</v>
      </c>
      <c r="E773" s="297" t="str">
        <f t="shared" si="36"/>
        <v>Mort-vivant</v>
      </c>
      <c r="F773" s="297" t="str">
        <f>VLOOKUP(E773,'Types de monstres'!$A$2:$B$17,2,FALSE)</f>
        <v>UNDEAD</v>
      </c>
      <c r="G773" s="297" t="str">
        <f t="shared" si="37"/>
        <v/>
      </c>
      <c r="H773" s="297" t="str">
        <f>IF(OR(G773="",G773="toute race"),"",VLOOKUP(G773,'Types de monstres'!$F$2:$G$49,2,FALSE))</f>
        <v/>
      </c>
      <c r="I773" s="298" t="s">
        <v>4112</v>
      </c>
      <c r="J773" s="300">
        <v>19</v>
      </c>
      <c r="K773" s="300">
        <v>187</v>
      </c>
      <c r="L773" s="298" t="s">
        <v>4092</v>
      </c>
      <c r="M773" s="298" t="s">
        <v>4097</v>
      </c>
      <c r="N773" s="297" t="str">
        <f>IF(M773="sans alignement","",IF(M773="tout alignement", """1_LB"", ""2_NB"", ""3_CB"", ""4_LN"", ""5_NN"", ""6_CN"", ""7_LM"", ""8_NM"", ""9_CM""",IF(M773="tout alignement non bon", """4_LN"", ""5_NN"", ""6_CN"", ""7_LM"", ""8_NM"", ""9_CM""",IF(M773="tout alignement mauvais", """7_LM"", ""8_NM"", ""9_CM""",IF(M773="tout alignement chaotique", """3_CB"", ""6_CN"", ""9_CM""",IF(M773="tout alignement non loyal", """2_NB"", ""3_CB"", ""5_NN"", ""6_CN"", ""8_NM"", ""9_CM""",""""&amp;VLOOKUP(M773,Alignements!$A$2:$B$10,2, FALSE)&amp;""""))))))</f>
        <v>"7_LM"</v>
      </c>
      <c r="O773" s="298" t="s">
        <v>4114</v>
      </c>
      <c r="P773" t="str">
        <f t="shared" si="38"/>
        <v>"Tyramort": {
  "Name" : "Tyramort",
  "VO" : "Death Tyrant",
  "Family" : "UNDEAD",
  "Species" : [""],
  "FP" : "14", 
  "Size" : "G",
  "AC" : 19,
  "HP" : 187, 
  "Speed" : "vol",
  "Alignments" : ["7_LM"],
  "Legendary" : "Légendaire"}</v>
      </c>
    </row>
    <row r="774" spans="1:16">
      <c r="A774" s="61" t="s">
        <v>5539</v>
      </c>
      <c r="B774" s="297" t="s">
        <v>5540</v>
      </c>
      <c r="C774" s="305">
        <v>13</v>
      </c>
      <c r="D774" s="297" t="s">
        <v>4111</v>
      </c>
      <c r="E774" s="297" t="str">
        <f t="shared" si="36"/>
        <v>Aberration</v>
      </c>
      <c r="F774" s="297" t="str">
        <f>VLOOKUP(E774,'Types de monstres'!$A$2:$B$17,2,FALSE)</f>
        <v>ABERRATION</v>
      </c>
      <c r="G774" s="297" t="str">
        <f t="shared" si="37"/>
        <v/>
      </c>
      <c r="H774" s="297" t="str">
        <f>IF(OR(G774="",G774="toute race"),"",VLOOKUP(G774,'Types de monstres'!$F$2:$G$49,2,FALSE))</f>
        <v/>
      </c>
      <c r="I774" s="297" t="s">
        <v>4112</v>
      </c>
      <c r="J774" s="302">
        <v>18</v>
      </c>
      <c r="K774" s="302">
        <v>180</v>
      </c>
      <c r="L774" s="297" t="s">
        <v>4092</v>
      </c>
      <c r="M774" s="297" t="s">
        <v>4097</v>
      </c>
      <c r="N774" s="297" t="str">
        <f>IF(M774="sans alignement","",IF(M774="tout alignement", """1_LB"", ""2_NB"", ""3_CB"", ""4_LN"", ""5_NN"", ""6_CN"", ""7_LM"", ""8_NM"", ""9_CM""",IF(M774="tout alignement non bon", """4_LN"", ""5_NN"", ""6_CN"", ""7_LM"", ""8_NM"", ""9_CM""",IF(M774="tout alignement mauvais", """7_LM"", ""8_NM"", ""9_CM""",IF(M774="tout alignement chaotique", """3_CB"", ""6_CN"", ""9_CM""",IF(M774="tout alignement non loyal", """2_NB"", ""3_CB"", ""5_NN"", ""6_CN"", ""8_NM"", ""9_CM""",""""&amp;VLOOKUP(M774,Alignements!$A$2:$B$10,2, FALSE)&amp;""""))))))</f>
        <v>"7_LM"</v>
      </c>
      <c r="O774" s="297" t="s">
        <v>4114</v>
      </c>
      <c r="P774" t="str">
        <f t="shared" si="38"/>
        <v>"Tyrannoeil": {
  "Name" : "Tyrannoeil",
  "VO" : "Beholder",
  "Family" : "ABERRATION",
  "Species" : [""],
  "FP" : "13", 
  "Size" : "G",
  "AC" : 18,
  "HP" : 180, 
  "Speed" : "vol",
  "Alignments" : ["7_LM"],
  "Legendary" : "Légendaire"}</v>
      </c>
    </row>
    <row r="775" spans="1:16">
      <c r="A775" s="61" t="s">
        <v>5541</v>
      </c>
      <c r="B775" s="298" t="s">
        <v>5542</v>
      </c>
      <c r="C775" s="306">
        <v>5</v>
      </c>
      <c r="D775" s="298" t="s">
        <v>4117</v>
      </c>
      <c r="E775" s="297" t="str">
        <f t="shared" si="36"/>
        <v>Mort-vivant</v>
      </c>
      <c r="F775" s="297" t="str">
        <f>VLOOKUP(E775,'Types de monstres'!$A$2:$B$17,2,FALSE)</f>
        <v>UNDEAD</v>
      </c>
      <c r="G775" s="297" t="str">
        <f t="shared" si="37"/>
        <v/>
      </c>
      <c r="H775" s="297" t="str">
        <f>IF(OR(G775="",G775="toute race"),"",VLOOKUP(G775,'Types de monstres'!$F$2:$G$49,2,FALSE))</f>
        <v/>
      </c>
      <c r="I775" s="298" t="s">
        <v>4112</v>
      </c>
      <c r="J775" s="300">
        <v>15</v>
      </c>
      <c r="K775" s="300">
        <v>93</v>
      </c>
      <c r="L775" s="298" t="s">
        <v>4092</v>
      </c>
      <c r="M775" s="298" t="s">
        <v>4118</v>
      </c>
      <c r="N775" s="297" t="str">
        <f>IF(M775="sans alignement","",IF(M775="tout alignement", """1_LB"", ""2_NB"", ""3_CB"", ""4_LN"", ""5_NN"", ""6_CN"", ""7_LM"", ""8_NM"", ""9_CM""",IF(M775="tout alignement non bon", """4_LN"", ""5_NN"", ""6_CN"", ""7_LM"", ""8_NM"", ""9_CM""",IF(M775="tout alignement mauvais", """7_LM"", ""8_NM"", ""9_CM""",IF(M775="tout alignement chaotique", """3_CB"", ""6_CN"", ""9_CM""",IF(M775="tout alignement non loyal", """2_NB"", ""3_CB"", ""5_NN"", ""6_CN"", ""8_NM"", ""9_CM""",""""&amp;VLOOKUP(M775,Alignements!$A$2:$B$10,2, FALSE)&amp;""""))))))</f>
        <v>"8_NM"</v>
      </c>
      <c r="O775" s="298"/>
      <c r="P775" t="str">
        <f t="shared" si="38"/>
        <v>"Tyrannoeil zombi": {
  "Name" : "Tyrannoeil zombi",
  "VO" : "Beholder Zombie",
  "Family" : "UNDEAD",
  "Species" : [""],
  "FP" : "5", 
  "Size" : "G",
  "AC" : 15,
  "HP" : 93, 
  "Speed" : "vol",
  "Alignments" : ["8_NM"],
  "Legendary" : ""}</v>
      </c>
    </row>
    <row r="776" spans="1:16">
      <c r="A776" s="61" t="s">
        <v>5543</v>
      </c>
      <c r="B776" s="297" t="s">
        <v>5544</v>
      </c>
      <c r="C776" s="305">
        <v>8</v>
      </c>
      <c r="D776" s="297" t="s">
        <v>4128</v>
      </c>
      <c r="E776" s="297" t="str">
        <f t="shared" si="36"/>
        <v>Bête</v>
      </c>
      <c r="F776" s="297" t="str">
        <f>VLOOKUP(E776,'Types de monstres'!$A$2:$B$17,2,FALSE)</f>
        <v>BEAST</v>
      </c>
      <c r="G776" s="297" t="str">
        <f t="shared" si="37"/>
        <v/>
      </c>
      <c r="H776" s="297" t="str">
        <f>IF(OR(G776="",G776="toute race"),"",VLOOKUP(G776,'Types de monstres'!$F$2:$G$49,2,FALSE))</f>
        <v/>
      </c>
      <c r="I776" s="297" t="s">
        <v>4149</v>
      </c>
      <c r="J776" s="302">
        <v>13</v>
      </c>
      <c r="K776" s="302">
        <v>136</v>
      </c>
      <c r="L776" s="297"/>
      <c r="M776" s="297" t="s">
        <v>4130</v>
      </c>
      <c r="N776" s="297" t="str">
        <f>IF(M776="sans alignement","",IF(M776="tout alignement", """1_LB"", ""2_NB"", ""3_CB"", ""4_LN"", ""5_NN"", ""6_CN"", ""7_LM"", ""8_NM"", ""9_CM""",IF(M776="tout alignement non bon", """4_LN"", ""5_NN"", ""6_CN"", ""7_LM"", ""8_NM"", ""9_CM""",IF(M776="tout alignement mauvais", """7_LM"", ""8_NM"", ""9_CM""",IF(M776="tout alignement chaotique", """3_CB"", ""6_CN"", ""9_CM""",IF(M776="tout alignement non loyal", """2_NB"", ""3_CB"", ""5_NN"", ""6_CN"", ""8_NM"", ""9_CM""",""""&amp;VLOOKUP(M776,Alignements!$A$2:$B$10,2, FALSE)&amp;""""))))))</f>
        <v/>
      </c>
      <c r="O776" s="297"/>
      <c r="P776" t="str">
        <f t="shared" si="38"/>
        <v>"Tyrannosaure": {
  "Name" : "Tyrannosaure",
  "VO" : "Tyrannosaurus Rex",
  "Family" : "BEAST",
  "Species" : [""],
  "FP" : "8", 
  "Size" : "TG",
  "AC" : 13,
  "HP" : 136, 
  "Speed" : "",
  "Alignments" : [],
  "Legendary" : ""}</v>
      </c>
    </row>
    <row r="777" spans="1:16">
      <c r="A777" s="299" t="s">
        <v>5545</v>
      </c>
      <c r="B777" s="298" t="s">
        <v>5545</v>
      </c>
      <c r="C777" s="306">
        <v>16</v>
      </c>
      <c r="D777" s="298" t="s">
        <v>2914</v>
      </c>
      <c r="E777" s="297" t="str">
        <f t="shared" si="36"/>
        <v>Fiélon</v>
      </c>
      <c r="F777" s="297" t="str">
        <f>VLOOKUP(E777,'Types de monstres'!$A$2:$B$17,2,FALSE)</f>
        <v>FIEND</v>
      </c>
      <c r="G777" s="297" t="str">
        <f t="shared" si="37"/>
        <v/>
      </c>
      <c r="H777" s="297" t="str">
        <f>IF(OR(G777="",G777="toute race"),"",VLOOKUP(G777,'Types de monstres'!$F$2:$G$49,2,FALSE))</f>
        <v/>
      </c>
      <c r="I777" s="298" t="s">
        <v>4371</v>
      </c>
      <c r="J777" s="300">
        <v>18</v>
      </c>
      <c r="K777" s="300">
        <v>165</v>
      </c>
      <c r="L777" s="298"/>
      <c r="M777" s="298" t="s">
        <v>4118</v>
      </c>
      <c r="N777" s="297" t="str">
        <f>IF(M777="sans alignement","",IF(M777="tout alignement", """1_LB"", ""2_NB"", ""3_CB"", ""4_LN"", ""5_NN"", ""6_CN"", ""7_LM"", ""8_NM"", ""9_CM""",IF(M777="tout alignement non bon", """4_LN"", ""5_NN"", ""6_CN"", ""7_LM"", ""8_NM"", ""9_CM""",IF(M777="tout alignement mauvais", """7_LM"", ""8_NM"", ""9_CM""",IF(M777="tout alignement chaotique", """3_CB"", ""6_CN"", ""9_CM""",IF(M777="tout alignement non loyal", """2_NB"", ""3_CB"", ""5_NN"", ""6_CN"", ""8_NM"", ""9_CM""",""""&amp;VLOOKUP(M777,Alignements!$A$2:$B$10,2, FALSE)&amp;""""))))))</f>
        <v>"8_NM"</v>
      </c>
      <c r="O777" s="298"/>
      <c r="P777" t="str">
        <f t="shared" si="38"/>
        <v>"Udaak": {
  "Name" : "Udaak",
  "VO" : "Udaak",
  "Family" : "FIEND",
  "Species" : [""],
  "FP" : "16", 
  "Size" : "Gig",
  "AC" : 18,
  "HP" : 165, 
  "Speed" : "",
  "Alignments" : ["8_NM"],
  "Legendary" : ""}</v>
      </c>
    </row>
    <row r="778" spans="1:16">
      <c r="A778" s="61" t="s">
        <v>5546</v>
      </c>
      <c r="B778" s="297" t="s">
        <v>5546</v>
      </c>
      <c r="C778" s="305">
        <v>9</v>
      </c>
      <c r="D778" s="297" t="s">
        <v>4111</v>
      </c>
      <c r="E778" s="297" t="str">
        <f t="shared" si="36"/>
        <v>Aberration</v>
      </c>
      <c r="F778" s="297" t="str">
        <f>VLOOKUP(E778,'Types de monstres'!$A$2:$B$17,2,FALSE)</f>
        <v>ABERRATION</v>
      </c>
      <c r="G778" s="297" t="str">
        <f t="shared" si="37"/>
        <v/>
      </c>
      <c r="H778" s="297" t="str">
        <f>IF(OR(G778="",G778="toute race"),"",VLOOKUP(G778,'Types de monstres'!$F$2:$G$49,2,FALSE))</f>
        <v/>
      </c>
      <c r="I778" s="297" t="s">
        <v>4112</v>
      </c>
      <c r="J778" s="302">
        <v>15</v>
      </c>
      <c r="K778" s="302">
        <v>127</v>
      </c>
      <c r="L778" s="297"/>
      <c r="M778" s="297" t="s">
        <v>4097</v>
      </c>
      <c r="N778" s="297" t="str">
        <f>IF(M778="sans alignement","",IF(M778="tout alignement", """1_LB"", ""2_NB"", ""3_CB"", ""4_LN"", ""5_NN"", ""6_CN"", ""7_LM"", ""8_NM"", ""9_CM""",IF(M778="tout alignement non bon", """4_LN"", ""5_NN"", ""6_CN"", ""7_LM"", ""8_NM"", ""9_CM""",IF(M778="tout alignement mauvais", """7_LM"", ""8_NM"", ""9_CM""",IF(M778="tout alignement chaotique", """3_CB"", ""6_CN"", ""9_CM""",IF(M778="tout alignement non loyal", """2_NB"", ""3_CB"", ""5_NN"", ""6_CN"", ""8_NM"", ""9_CM""",""""&amp;VLOOKUP(M778,Alignements!$A$2:$B$10,2, FALSE)&amp;""""))))))</f>
        <v>"7_LM"</v>
      </c>
      <c r="O778" s="297"/>
      <c r="P778" t="str">
        <f t="shared" si="38"/>
        <v>"Ulitharid": {
  "Name" : "Ulitharid",
  "VO" : "Ulitharid",
  "Family" : "ABERRATION",
  "Species" : [""],
  "FP" : "9", 
  "Size" : "G",
  "AC" : 15,
  "HP" : 127, 
  "Speed" : "",
  "Alignments" : ["7_LM"],
  "Legendary" : ""}</v>
      </c>
    </row>
    <row r="779" spans="1:16">
      <c r="A779" s="61" t="s">
        <v>5547</v>
      </c>
      <c r="B779" s="298" t="s">
        <v>5547</v>
      </c>
      <c r="C779" s="306">
        <v>13</v>
      </c>
      <c r="D779" s="298" t="s">
        <v>4173</v>
      </c>
      <c r="E779" s="297" t="str">
        <f t="shared" si="36"/>
        <v>Fiélon</v>
      </c>
      <c r="F779" s="297" t="str">
        <f>VLOOKUP(E779,'Types de monstres'!$A$2:$B$17,2,FALSE)</f>
        <v>FIEND</v>
      </c>
      <c r="G779" s="297" t="str">
        <f t="shared" si="37"/>
        <v>yugoloth</v>
      </c>
      <c r="H779" s="297" t="str">
        <f>IF(OR(G779="",G779="toute race"),"",VLOOKUP(G779,'Types de monstres'!$F$2:$G$49,2,FALSE))</f>
        <v>YUGOLOTH</v>
      </c>
      <c r="I779" s="298" t="s">
        <v>4091</v>
      </c>
      <c r="J779" s="300">
        <v>19</v>
      </c>
      <c r="K779" s="300">
        <v>153</v>
      </c>
      <c r="L779" s="298" t="s">
        <v>4092</v>
      </c>
      <c r="M779" s="298" t="s">
        <v>4118</v>
      </c>
      <c r="N779" s="297" t="str">
        <f>IF(M779="sans alignement","",IF(M779="tout alignement", """1_LB"", ""2_NB"", ""3_CB"", ""4_LN"", ""5_NN"", ""6_CN"", ""7_LM"", ""8_NM"", ""9_CM""",IF(M779="tout alignement non bon", """4_LN"", ""5_NN"", ""6_CN"", ""7_LM"", ""8_NM"", ""9_CM""",IF(M779="tout alignement mauvais", """7_LM"", ""8_NM"", ""9_CM""",IF(M779="tout alignement chaotique", """3_CB"", ""6_CN"", ""9_CM""",IF(M779="tout alignement non loyal", """2_NB"", ""3_CB"", ""5_NN"", ""6_CN"", ""8_NM"", ""9_CM""",""""&amp;VLOOKUP(M779,Alignements!$A$2:$B$10,2, FALSE)&amp;""""))))))</f>
        <v>"8_NM"</v>
      </c>
      <c r="O779" s="298"/>
      <c r="P779" t="str">
        <f t="shared" si="38"/>
        <v>"Ultroloth": {
  "Name" : "Ultroloth",
  "VO" : "Ultroloth",
  "Family" : "FIEND",
  "Species" : ["YUGOLOTH"],
  "FP" : "13", 
  "Size" : "M",
  "AC" : 19,
  "HP" : 153, 
  "Speed" : "vol",
  "Alignments" : ["8_NM"],
  "Legendary" : ""}</v>
      </c>
    </row>
    <row r="780" spans="1:16">
      <c r="A780" s="61" t="s">
        <v>5548</v>
      </c>
      <c r="B780" s="297" t="s">
        <v>5549</v>
      </c>
      <c r="C780" s="305" t="s">
        <v>5618</v>
      </c>
      <c r="D780" s="297" t="s">
        <v>4128</v>
      </c>
      <c r="E780" s="297" t="str">
        <f t="shared" si="36"/>
        <v>Bête</v>
      </c>
      <c r="F780" s="297" t="str">
        <f>VLOOKUP(E780,'Types de monstres'!$A$2:$B$17,2,FALSE)</f>
        <v>BEAST</v>
      </c>
      <c r="G780" s="297" t="str">
        <f t="shared" si="37"/>
        <v/>
      </c>
      <c r="H780" s="297" t="str">
        <f>IF(OR(G780="",G780="toute race"),"",VLOOKUP(G780,'Types de monstres'!$F$2:$G$49,2,FALSE))</f>
        <v/>
      </c>
      <c r="I780" s="297" t="s">
        <v>4112</v>
      </c>
      <c r="J780" s="302">
        <v>10</v>
      </c>
      <c r="K780" s="302">
        <v>15</v>
      </c>
      <c r="L780" s="297"/>
      <c r="M780" s="297" t="s">
        <v>4130</v>
      </c>
      <c r="N780" s="297" t="str">
        <f>IF(M780="sans alignement","",IF(M780="tout alignement", """1_LB"", ""2_NB"", ""3_CB"", ""4_LN"", ""5_NN"", ""6_CN"", ""7_LM"", ""8_NM"", ""9_CM""",IF(M780="tout alignement non bon", """4_LN"", ""5_NN"", ""6_CN"", ""7_LM"", ""8_NM"", ""9_CM""",IF(M780="tout alignement mauvais", """7_LM"", ""8_NM"", ""9_CM""",IF(M780="tout alignement chaotique", """3_CB"", ""6_CN"", ""9_CM""",IF(M780="tout alignement non loyal", """2_NB"", ""3_CB"", ""5_NN"", ""6_CN"", ""8_NM"", ""9_CM""",""""&amp;VLOOKUP(M780,Alignements!$A$2:$B$10,2, FALSE)&amp;""""))))))</f>
        <v/>
      </c>
      <c r="O780" s="297"/>
      <c r="P780" t="str">
        <f t="shared" si="38"/>
        <v>"Vache": {
  "Name" : "Vache",
  "VO" : "Cow",
  "Family" : "BEAST",
  "Species" : [""],
  "FP" : "1/4", 
  "Size" : "G",
  "AC" : 10,
  "HP" : 15, 
  "Speed" : "",
  "Alignments" : [],
  "Legendary" : ""}</v>
      </c>
    </row>
    <row r="781" spans="1:16">
      <c r="A781" s="299" t="s">
        <v>5550</v>
      </c>
      <c r="B781" s="298" t="s">
        <v>5550</v>
      </c>
      <c r="C781" s="306">
        <v>13</v>
      </c>
      <c r="D781" s="298" t="s">
        <v>4242</v>
      </c>
      <c r="E781" s="297" t="str">
        <f t="shared" si="36"/>
        <v>Humanoïde</v>
      </c>
      <c r="F781" s="297" t="str">
        <f>VLOOKUP(E781,'Types de monstres'!$A$2:$B$17,2,FALSE)</f>
        <v>HUMANOID</v>
      </c>
      <c r="G781" s="297" t="str">
        <f t="shared" si="37"/>
        <v>humain</v>
      </c>
      <c r="H781" s="297" t="str">
        <f>IF(OR(G781="",G781="toute race"),"",VLOOKUP(G781,'Types de monstres'!$F$2:$G$49,2,FALSE))</f>
        <v>HUMAN</v>
      </c>
      <c r="I781" s="298" t="s">
        <v>4091</v>
      </c>
      <c r="J781" s="300">
        <v>14</v>
      </c>
      <c r="K781" s="300">
        <v>126</v>
      </c>
      <c r="L781" s="298"/>
      <c r="M781" s="298" t="s">
        <v>4145</v>
      </c>
      <c r="N781" s="297" t="str">
        <f>IF(M781="sans alignement","",IF(M781="tout alignement", """1_LB"", ""2_NB"", ""3_CB"", ""4_LN"", ""5_NN"", ""6_CN"", ""7_LM"", ""8_NM"", ""9_CM""",IF(M781="tout alignement non bon", """4_LN"", ""5_NN"", ""6_CN"", ""7_LM"", ""8_NM"", ""9_CM""",IF(M781="tout alignement mauvais", """7_LM"", ""8_NM"", ""9_CM""",IF(M781="tout alignement chaotique", """3_CB"", ""6_CN"", ""9_CM""",IF(M781="tout alignement non loyal", """2_NB"", ""3_CB"", ""5_NN"", ""6_CN"", ""8_NM"", ""9_CM""",""""&amp;VLOOKUP(M781,Alignements!$A$2:$B$10,2, FALSE)&amp;""""))))))</f>
        <v>"4_LN"</v>
      </c>
      <c r="O781" s="298"/>
      <c r="P781" t="str">
        <f t="shared" si="38"/>
        <v>"Vajra Safahr": {
  "Name" : "Vajra Safahr",
  "VO" : "Vajra Safahr",
  "Family" : "HUMANOID",
  "Species" : ["HUMAN"],
  "FP" : "13", 
  "Size" : "M",
  "AC" : 14,
  "HP" : 126, 
  "Speed" : "",
  "Alignments" : ["4_LN"],
  "Legendary" : ""}</v>
      </c>
    </row>
    <row r="782" spans="1:16">
      <c r="A782" s="61" t="s">
        <v>5551</v>
      </c>
      <c r="B782" s="297" t="s">
        <v>5551</v>
      </c>
      <c r="C782" s="305">
        <v>13</v>
      </c>
      <c r="D782" s="297" t="s">
        <v>5456</v>
      </c>
      <c r="E782" s="297" t="str">
        <f t="shared" si="36"/>
        <v>Mort-vivant</v>
      </c>
      <c r="F782" s="297" t="str">
        <f>VLOOKUP(E782,'Types de monstres'!$A$2:$B$17,2,FALSE)</f>
        <v>UNDEAD</v>
      </c>
      <c r="G782" s="297" t="str">
        <f t="shared" si="37"/>
        <v>métamorphe</v>
      </c>
      <c r="H782" s="297" t="str">
        <f>IF(OR(G782="",G782="toute race"),"",VLOOKUP(G782,'Types de monstres'!$F$2:$G$49,2,FALSE))</f>
        <v>METAMORPH</v>
      </c>
      <c r="I782" s="297" t="s">
        <v>4091</v>
      </c>
      <c r="J782" s="302">
        <v>16</v>
      </c>
      <c r="K782" s="302">
        <v>144</v>
      </c>
      <c r="L782" s="297"/>
      <c r="M782" s="297" t="s">
        <v>4097</v>
      </c>
      <c r="N782" s="297" t="str">
        <f>IF(M782="sans alignement","",IF(M782="tout alignement", """1_LB"", ""2_NB"", ""3_CB"", ""4_LN"", ""5_NN"", ""6_CN"", ""7_LM"", ""8_NM"", ""9_CM""",IF(M782="tout alignement non bon", """4_LN"", ""5_NN"", ""6_CN"", ""7_LM"", ""8_NM"", ""9_CM""",IF(M782="tout alignement mauvais", """7_LM"", ""8_NM"", ""9_CM""",IF(M782="tout alignement chaotique", """3_CB"", ""6_CN"", ""9_CM""",IF(M782="tout alignement non loyal", """2_NB"", ""3_CB"", ""5_NN"", ""6_CN"", ""8_NM"", ""9_CM""",""""&amp;VLOOKUP(M782,Alignements!$A$2:$B$10,2, FALSE)&amp;""""))))))</f>
        <v>"7_LM"</v>
      </c>
      <c r="O782" s="297" t="s">
        <v>4114</v>
      </c>
      <c r="P782" t="str">
        <f t="shared" si="38"/>
        <v>"Vampire": {
  "Name" : "Vampire",
  "VO" : "Vampire",
  "Family" : "UNDEAD",
  "Species" : ["METAMORPH"],
  "FP" : "13", 
  "Size" : "M",
  "AC" : 16,
  "HP" : 144, 
  "Speed" : "",
  "Alignments" : ["7_LM"],
  "Legendary" : "Légendaire"}</v>
      </c>
    </row>
    <row r="783" spans="1:16">
      <c r="A783" s="61" t="s">
        <v>5552</v>
      </c>
      <c r="B783" s="298" t="s">
        <v>5553</v>
      </c>
      <c r="C783" s="306">
        <v>5</v>
      </c>
      <c r="D783" s="298" t="s">
        <v>4117</v>
      </c>
      <c r="E783" s="297" t="str">
        <f t="shared" si="36"/>
        <v>Mort-vivant</v>
      </c>
      <c r="F783" s="297" t="str">
        <f>VLOOKUP(E783,'Types de monstres'!$A$2:$B$17,2,FALSE)</f>
        <v>UNDEAD</v>
      </c>
      <c r="G783" s="297" t="str">
        <f t="shared" si="37"/>
        <v/>
      </c>
      <c r="H783" s="297" t="str">
        <f>IF(OR(G783="",G783="toute race"),"",VLOOKUP(G783,'Types de monstres'!$F$2:$G$49,2,FALSE))</f>
        <v/>
      </c>
      <c r="I783" s="298" t="s">
        <v>4091</v>
      </c>
      <c r="J783" s="300">
        <v>15</v>
      </c>
      <c r="K783" s="300">
        <v>82</v>
      </c>
      <c r="L783" s="298"/>
      <c r="M783" s="298" t="s">
        <v>4118</v>
      </c>
      <c r="N783" s="297" t="str">
        <f>IF(M783="sans alignement","",IF(M783="tout alignement", """1_LB"", ""2_NB"", ""3_CB"", ""4_LN"", ""5_NN"", ""6_CN"", ""7_LM"", ""8_NM"", ""9_CM""",IF(M783="tout alignement non bon", """4_LN"", ""5_NN"", ""6_CN"", ""7_LM"", ""8_NM"", ""9_CM""",IF(M783="tout alignement mauvais", """7_LM"", ""8_NM"", ""9_CM""",IF(M783="tout alignement chaotique", """3_CB"", ""6_CN"", ""9_CM""",IF(M783="tout alignement non loyal", """2_NB"", ""3_CB"", ""5_NN"", ""6_CN"", ""8_NM"", ""9_CM""",""""&amp;VLOOKUP(M783,Alignements!$A$2:$B$10,2, FALSE)&amp;""""))))))</f>
        <v>"8_NM"</v>
      </c>
      <c r="O783" s="298"/>
      <c r="P783" t="str">
        <f t="shared" si="38"/>
        <v>"Vampirien": {
  "Name" : "Vampirien",
  "VO" : "Vampire Spawn",
  "Family" : "UNDEAD",
  "Species" : [""],
  "FP" : "5", 
  "Size" : "M",
  "AC" : 15,
  "HP" : 82, 
  "Speed" : "",
  "Alignments" : ["8_NM"],
  "Legendary" : ""}</v>
      </c>
    </row>
    <row r="784" spans="1:16">
      <c r="A784" s="61" t="s">
        <v>5554</v>
      </c>
      <c r="B784" s="297" t="s">
        <v>5554</v>
      </c>
      <c r="C784" s="305">
        <v>1</v>
      </c>
      <c r="D784" s="297" t="s">
        <v>2914</v>
      </c>
      <c r="E784" s="297" t="str">
        <f t="shared" si="36"/>
        <v>Fiélon</v>
      </c>
      <c r="F784" s="297" t="str">
        <f>VLOOKUP(E784,'Types de monstres'!$A$2:$B$17,2,FALSE)</f>
        <v>FIEND</v>
      </c>
      <c r="G784" s="297" t="str">
        <f t="shared" si="37"/>
        <v/>
      </c>
      <c r="H784" s="297" t="str">
        <f>IF(OR(G784="",G784="toute race"),"",VLOOKUP(G784,'Types de monstres'!$F$2:$G$49,2,FALSE))</f>
        <v/>
      </c>
      <c r="I784" s="297" t="s">
        <v>4154</v>
      </c>
      <c r="J784" s="302">
        <v>12</v>
      </c>
      <c r="K784" s="302">
        <v>13</v>
      </c>
      <c r="L784" s="297" t="s">
        <v>4092</v>
      </c>
      <c r="M784" s="297" t="s">
        <v>4137</v>
      </c>
      <c r="N784" s="297" t="str">
        <f>IF(M784="sans alignement","",IF(M784="tout alignement", """1_LB"", ""2_NB"", ""3_CB"", ""4_LN"", ""5_NN"", ""6_CN"", ""7_LM"", ""8_NM"", ""9_CM""",IF(M784="tout alignement non bon", """4_LN"", ""5_NN"", ""6_CN"", ""7_LM"", ""8_NM"", ""9_CM""",IF(M784="tout alignement mauvais", """7_LM"", ""8_NM"", ""9_CM""",IF(M784="tout alignement chaotique", """3_CB"", ""6_CN"", ""9_CM""",IF(M784="tout alignement non loyal", """2_NB"", ""3_CB"", ""5_NN"", ""6_CN"", ""8_NM"", ""9_CM""",""""&amp;VLOOKUP(M784,Alignements!$A$2:$B$10,2, FALSE)&amp;""""))))))</f>
        <v>"9_CM"</v>
      </c>
      <c r="O784" s="297"/>
      <c r="P784" t="str">
        <f t="shared" si="38"/>
        <v>"Vargouille": {
  "Name" : "Vargouille",
  "VO" : "Vargouille",
  "Family" : "FIEND",
  "Species" : [""],
  "FP" : "1", 
  "Size" : "TP",
  "AC" : 12,
  "HP" : 13, 
  "Speed" : "vol",
  "Alignments" : ["9_CM"],
  "Legendary" : ""}</v>
      </c>
    </row>
    <row r="785" spans="1:16">
      <c r="A785" s="61" t="s">
        <v>5555</v>
      </c>
      <c r="B785" s="298" t="s">
        <v>5556</v>
      </c>
      <c r="C785" s="306" t="s">
        <v>5620</v>
      </c>
      <c r="D785" s="298" t="s">
        <v>4376</v>
      </c>
      <c r="E785" s="297" t="str">
        <f t="shared" si="36"/>
        <v>Vase</v>
      </c>
      <c r="F785" s="297" t="str">
        <f>VLOOKUP(E785,'Types de monstres'!$A$2:$B$17,2,FALSE)</f>
        <v>MUD</v>
      </c>
      <c r="G785" s="297" t="str">
        <f t="shared" si="37"/>
        <v/>
      </c>
      <c r="H785" s="297" t="str">
        <f>IF(OR(G785="",G785="toute race"),"",VLOOKUP(G785,'Types de monstres'!$F$2:$G$49,2,FALSE))</f>
        <v/>
      </c>
      <c r="I785" s="298" t="s">
        <v>4091</v>
      </c>
      <c r="J785" s="300">
        <v>8</v>
      </c>
      <c r="K785" s="300">
        <v>22</v>
      </c>
      <c r="L785" s="298"/>
      <c r="M785" s="298" t="s">
        <v>4130</v>
      </c>
      <c r="N785" s="297" t="str">
        <f>IF(M785="sans alignement","",IF(M785="tout alignement", """1_LB"", ""2_NB"", ""3_CB"", ""4_LN"", ""5_NN"", ""6_CN"", ""7_LM"", ""8_NM"", ""9_CM""",IF(M785="tout alignement non bon", """4_LN"", ""5_NN"", ""6_CN"", ""7_LM"", ""8_NM"", ""9_CM""",IF(M785="tout alignement mauvais", """7_LM"", ""8_NM"", ""9_CM""",IF(M785="tout alignement chaotique", """3_CB"", ""6_CN"", ""9_CM""",IF(M785="tout alignement non loyal", """2_NB"", ""3_CB"", ""5_NN"", ""6_CN"", ""8_NM"", ""9_CM""",""""&amp;VLOOKUP(M785,Alignements!$A$2:$B$10,2, FALSE)&amp;""""))))))</f>
        <v/>
      </c>
      <c r="O785" s="298"/>
      <c r="P785" t="str">
        <f t="shared" si="38"/>
        <v>"Vase grise": {
  "Name" : "Vase grise",
  "VO" : "Gray Ooze",
  "Family" : "MUD",
  "Species" : [""],
  "FP" : "1/2", 
  "Size" : "M",
  "AC" : 8,
  "HP" : 22, 
  "Speed" : "",
  "Alignments" : [],
  "Legendary" : ""}</v>
      </c>
    </row>
    <row r="786" spans="1:16">
      <c r="A786" s="61" t="s">
        <v>5557</v>
      </c>
      <c r="B786" s="297" t="s">
        <v>5558</v>
      </c>
      <c r="C786" s="305">
        <v>0</v>
      </c>
      <c r="D786" s="297" t="s">
        <v>4128</v>
      </c>
      <c r="E786" s="297" t="str">
        <f t="shared" si="36"/>
        <v>Bête</v>
      </c>
      <c r="F786" s="297" t="str">
        <f>VLOOKUP(E786,'Types de monstres'!$A$2:$B$17,2,FALSE)</f>
        <v>BEAST</v>
      </c>
      <c r="G786" s="297" t="str">
        <f t="shared" si="37"/>
        <v/>
      </c>
      <c r="H786" s="297" t="str">
        <f>IF(OR(G786="",G786="toute race"),"",VLOOKUP(G786,'Types de monstres'!$F$2:$G$49,2,FALSE))</f>
        <v/>
      </c>
      <c r="I786" s="297" t="s">
        <v>4091</v>
      </c>
      <c r="J786" s="302">
        <v>10</v>
      </c>
      <c r="K786" s="302">
        <v>5</v>
      </c>
      <c r="L786" s="297" t="s">
        <v>4092</v>
      </c>
      <c r="M786" s="297" t="s">
        <v>4130</v>
      </c>
      <c r="N786" s="297" t="str">
        <f>IF(M786="sans alignement","",IF(M786="tout alignement", """1_LB"", ""2_NB"", ""3_CB"", ""4_LN"", ""5_NN"", ""6_CN"", ""7_LM"", ""8_NM"", ""9_CM""",IF(M786="tout alignement non bon", """4_LN"", ""5_NN"", ""6_CN"", ""7_LM"", ""8_NM"", ""9_CM""",IF(M786="tout alignement mauvais", """7_LM"", ""8_NM"", ""9_CM""",IF(M786="tout alignement chaotique", """3_CB"", ""6_CN"", ""9_CM""",IF(M786="tout alignement non loyal", """2_NB"", ""3_CB"", ""5_NN"", ""6_CN"", ""8_NM"", ""9_CM""",""""&amp;VLOOKUP(M786,Alignements!$A$2:$B$10,2, FALSE)&amp;""""))))))</f>
        <v/>
      </c>
      <c r="O786" s="297"/>
      <c r="P786" t="str">
        <f t="shared" si="38"/>
        <v>"Vautour": {
  "Name" : "Vautour",
  "VO" : "Vulture",
  "Family" : "BEAST",
  "Species" : [""],
  "FP" : "0", 
  "Size" : "M",
  "AC" : 10,
  "HP" : 5, 
  "Speed" : "vol",
  "Alignments" : [],
  "Legendary" : ""}</v>
      </c>
    </row>
    <row r="787" spans="1:16">
      <c r="A787" s="61" t="s">
        <v>5559</v>
      </c>
      <c r="B787" s="298" t="s">
        <v>5560</v>
      </c>
      <c r="C787" s="306">
        <v>1</v>
      </c>
      <c r="D787" s="298" t="s">
        <v>4128</v>
      </c>
      <c r="E787" s="297" t="str">
        <f t="shared" si="36"/>
        <v>Bête</v>
      </c>
      <c r="F787" s="297" t="str">
        <f>VLOOKUP(E787,'Types de monstres'!$A$2:$B$17,2,FALSE)</f>
        <v>BEAST</v>
      </c>
      <c r="G787" s="297" t="str">
        <f t="shared" si="37"/>
        <v/>
      </c>
      <c r="H787" s="297" t="str">
        <f>IF(OR(G787="",G787="toute race"),"",VLOOKUP(G787,'Types de monstres'!$F$2:$G$49,2,FALSE))</f>
        <v/>
      </c>
      <c r="I787" s="298" t="s">
        <v>4112</v>
      </c>
      <c r="J787" s="300">
        <v>10</v>
      </c>
      <c r="K787" s="300">
        <v>22</v>
      </c>
      <c r="L787" s="298" t="s">
        <v>4092</v>
      </c>
      <c r="M787" s="298" t="s">
        <v>4118</v>
      </c>
      <c r="N787" s="297" t="str">
        <f>IF(M787="sans alignement","",IF(M787="tout alignement", """1_LB"", ""2_NB"", ""3_CB"", ""4_LN"", ""5_NN"", ""6_CN"", ""7_LM"", ""8_NM"", ""9_CM""",IF(M787="tout alignement non bon", """4_LN"", ""5_NN"", ""6_CN"", ""7_LM"", ""8_NM"", ""9_CM""",IF(M787="tout alignement mauvais", """7_LM"", ""8_NM"", ""9_CM""",IF(M787="tout alignement chaotique", """3_CB"", ""6_CN"", ""9_CM""",IF(M787="tout alignement non loyal", """2_NB"", ""3_CB"", ""5_NN"", ""6_CN"", ""8_NM"", ""9_CM""",""""&amp;VLOOKUP(M787,Alignements!$A$2:$B$10,2, FALSE)&amp;""""))))))</f>
        <v>"8_NM"</v>
      </c>
      <c r="O787" s="298"/>
      <c r="P787" t="str">
        <f t="shared" si="38"/>
        <v>"Vautour géant": {
  "Name" : "Vautour géant",
  "VO" : "Giant Vulture",
  "Family" : "BEAST",
  "Species" : [""],
  "FP" : "1", 
  "Size" : "G",
  "AC" : 10,
  "HP" : 22, 
  "Speed" : "vol",
  "Alignments" : ["8_NM"],
  "Legendary" : ""}</v>
      </c>
    </row>
    <row r="788" spans="1:16">
      <c r="A788" s="61" t="s">
        <v>5561</v>
      </c>
      <c r="B788" s="297" t="s">
        <v>5562</v>
      </c>
      <c r="C788" s="305" t="s">
        <v>5618</v>
      </c>
      <c r="D788" s="297" t="s">
        <v>4167</v>
      </c>
      <c r="E788" s="297" t="str">
        <f t="shared" si="36"/>
        <v>Plante</v>
      </c>
      <c r="F788" s="297" t="str">
        <f>VLOOKUP(E788,'Types de monstres'!$A$2:$B$17,2,FALSE)</f>
        <v>PLANT</v>
      </c>
      <c r="G788" s="297" t="str">
        <f t="shared" si="37"/>
        <v/>
      </c>
      <c r="H788" s="297" t="str">
        <f>IF(OR(G788="",G788="toute race"),"",VLOOKUP(G788,'Types de monstres'!$F$2:$G$49,2,FALSE))</f>
        <v/>
      </c>
      <c r="I788" s="297" t="s">
        <v>4129</v>
      </c>
      <c r="J788" s="302">
        <v>13</v>
      </c>
      <c r="K788" s="302">
        <v>9</v>
      </c>
      <c r="L788" s="297"/>
      <c r="M788" s="297" t="s">
        <v>4193</v>
      </c>
      <c r="N788" s="297" t="str">
        <f>IF(M788="sans alignement","",IF(M788="tout alignement", """1_LB"", ""2_NB"", ""3_CB"", ""4_LN"", ""5_NN"", ""6_CN"", ""7_LM"", ""8_NM"", ""9_CM""",IF(M788="tout alignement non bon", """4_LN"", ""5_NN"", ""6_CN"", ""7_LM"", ""8_NM"", ""9_CM""",IF(M788="tout alignement mauvais", """7_LM"", ""8_NM"", ""9_CM""",IF(M788="tout alignement chaotique", """3_CB"", ""6_CN"", ""9_CM""",IF(M788="tout alignement non loyal", """2_NB"", ""3_CB"", ""5_NN"", ""6_CN"", ""8_NM"", ""9_CM""",""""&amp;VLOOKUP(M788,Alignements!$A$2:$B$10,2, FALSE)&amp;""""))))))</f>
        <v>"5_NN"</v>
      </c>
      <c r="O788" s="297"/>
      <c r="P788" t="str">
        <f t="shared" si="38"/>
        <v>"Végépygmée": {
  "Name" : "Végépygmée",
  "VO" : "Vegepygmy",
  "Family" : "PLANT",
  "Species" : [""],
  "FP" : "1/4", 
  "Size" : "P",
  "AC" : 13,
  "HP" : 9, 
  "Speed" : "",
  "Alignments" : ["5_NN"],
  "Legendary" : ""}</v>
      </c>
    </row>
    <row r="789" spans="1:16">
      <c r="A789" s="61" t="s">
        <v>5563</v>
      </c>
      <c r="B789" s="298" t="s">
        <v>5564</v>
      </c>
      <c r="C789" s="306">
        <v>2</v>
      </c>
      <c r="D789" s="298" t="s">
        <v>4167</v>
      </c>
      <c r="E789" s="297" t="str">
        <f t="shared" si="36"/>
        <v>Plante</v>
      </c>
      <c r="F789" s="297" t="str">
        <f>VLOOKUP(E789,'Types de monstres'!$A$2:$B$17,2,FALSE)</f>
        <v>PLANT</v>
      </c>
      <c r="G789" s="297" t="str">
        <f t="shared" si="37"/>
        <v/>
      </c>
      <c r="H789" s="297" t="str">
        <f>IF(OR(G789="",G789="toute race"),"",VLOOKUP(G789,'Types de monstres'!$F$2:$G$49,2,FALSE))</f>
        <v/>
      </c>
      <c r="I789" s="298" t="s">
        <v>4129</v>
      </c>
      <c r="J789" s="300">
        <v>14</v>
      </c>
      <c r="K789" s="300">
        <v>33</v>
      </c>
      <c r="L789" s="298"/>
      <c r="M789" s="298" t="s">
        <v>4193</v>
      </c>
      <c r="N789" s="297" t="str">
        <f>IF(M789="sans alignement","",IF(M789="tout alignement", """1_LB"", ""2_NB"", ""3_CB"", ""4_LN"", ""5_NN"", ""6_CN"", ""7_LM"", ""8_NM"", ""9_CM""",IF(M789="tout alignement non bon", """4_LN"", ""5_NN"", ""6_CN"", ""7_LM"", ""8_NM"", ""9_CM""",IF(M789="tout alignement mauvais", """7_LM"", ""8_NM"", ""9_CM""",IF(M789="tout alignement chaotique", """3_CB"", ""6_CN"", ""9_CM""",IF(M789="tout alignement non loyal", """2_NB"", ""3_CB"", ""5_NN"", ""6_CN"", ""8_NM"", ""9_CM""",""""&amp;VLOOKUP(M789,Alignements!$A$2:$B$10,2, FALSE)&amp;""""))))))</f>
        <v>"5_NN"</v>
      </c>
      <c r="O789" s="298"/>
      <c r="P789" t="str">
        <f t="shared" si="38"/>
        <v>"Végépygmée, chef": {
  "Name" : "Végépygmée, chef",
  "VO" : "Vegepygmy Chief",
  "Family" : "PLANT",
  "Species" : [""],
  "FP" : "2", 
  "Size" : "P",
  "AC" : 14,
  "HP" : 33, 
  "Speed" : "",
  "Alignments" : ["5_NN"],
  "Legendary" : ""}</v>
      </c>
    </row>
    <row r="790" spans="1:16">
      <c r="A790" s="61" t="s">
        <v>5565</v>
      </c>
      <c r="B790" s="297" t="s">
        <v>5566</v>
      </c>
      <c r="C790" s="305" t="s">
        <v>5618</v>
      </c>
      <c r="D790" s="297" t="s">
        <v>4128</v>
      </c>
      <c r="E790" s="297" t="str">
        <f t="shared" si="36"/>
        <v>Bête</v>
      </c>
      <c r="F790" s="297" t="str">
        <f>VLOOKUP(E790,'Types de monstres'!$A$2:$B$17,2,FALSE)</f>
        <v>BEAST</v>
      </c>
      <c r="G790" s="297" t="str">
        <f t="shared" si="37"/>
        <v/>
      </c>
      <c r="H790" s="297" t="str">
        <f>IF(OR(G790="",G790="toute race"),"",VLOOKUP(G790,'Types de monstres'!$F$2:$G$49,2,FALSE))</f>
        <v/>
      </c>
      <c r="I790" s="297" t="s">
        <v>4154</v>
      </c>
      <c r="J790" s="302">
        <v>13</v>
      </c>
      <c r="K790" s="302">
        <v>10</v>
      </c>
      <c r="L790" s="297"/>
      <c r="M790" s="297" t="s">
        <v>4130</v>
      </c>
      <c r="N790" s="297" t="str">
        <f>IF(M790="sans alignement","",IF(M790="tout alignement", """1_LB"", ""2_NB"", ""3_CB"", ""4_LN"", ""5_NN"", ""6_CN"", ""7_LM"", ""8_NM"", ""9_CM""",IF(M790="tout alignement non bon", """4_LN"", ""5_NN"", ""6_CN"", ""7_LM"", ""8_NM"", ""9_CM""",IF(M790="tout alignement mauvais", """7_LM"", ""8_NM"", ""9_CM""",IF(M790="tout alignement chaotique", """3_CB"", ""6_CN"", ""9_CM""",IF(M790="tout alignement non loyal", """2_NB"", ""3_CB"", ""5_NN"", ""6_CN"", ""8_NM"", ""9_CM""",""""&amp;VLOOKUP(M790,Alignements!$A$2:$B$10,2, FALSE)&amp;""""))))))</f>
        <v/>
      </c>
      <c r="O790" s="297"/>
      <c r="P790" t="str">
        <f t="shared" si="38"/>
        <v>"Vélociraptor": {
  "Name" : "Vélociraptor",
  "VO" : "Velociraptor",
  "Family" : "BEAST",
  "Species" : [""],
  "FP" : "1/4", 
  "Size" : "TP",
  "AC" : 13,
  "HP" : 10, 
  "Speed" : "",
  "Alignments" : [],
  "Legendary" : ""}</v>
      </c>
    </row>
    <row r="791" spans="1:16">
      <c r="A791" s="299" t="s">
        <v>5567</v>
      </c>
      <c r="B791" s="298" t="s">
        <v>5568</v>
      </c>
      <c r="C791" s="306">
        <v>17</v>
      </c>
      <c r="D791" s="298" t="s">
        <v>4121</v>
      </c>
      <c r="E791" s="297" t="str">
        <f t="shared" si="36"/>
        <v>Créature monstrueuse</v>
      </c>
      <c r="F791" s="297" t="str">
        <f>VLOOKUP(E791,'Types de monstres'!$A$2:$B$17,2,FALSE)</f>
        <v>MONSTROUS_CREATURE</v>
      </c>
      <c r="G791" s="297" t="str">
        <f t="shared" si="37"/>
        <v/>
      </c>
      <c r="H791" s="297" t="str">
        <f>IF(OR(G791="",G791="toute race"),"",VLOOKUP(G791,'Types de monstres'!$F$2:$G$49,2,FALSE))</f>
        <v/>
      </c>
      <c r="I791" s="298" t="s">
        <v>4371</v>
      </c>
      <c r="J791" s="300">
        <v>18</v>
      </c>
      <c r="K791" s="300">
        <v>264</v>
      </c>
      <c r="L791" s="298"/>
      <c r="M791" s="298" t="s">
        <v>4130</v>
      </c>
      <c r="N791" s="297" t="str">
        <f>IF(M791="sans alignement","",IF(M791="tout alignement", """1_LB"", ""2_NB"", ""3_CB"", ""4_LN"", ""5_NN"", ""6_CN"", ""7_LM"", ""8_NM"", ""9_CM""",IF(M791="tout alignement non bon", """4_LN"", ""5_NN"", ""6_CN"", ""7_LM"", ""8_NM"", ""9_CM""",IF(M791="tout alignement mauvais", """7_LM"", ""8_NM"", ""9_CM""",IF(M791="tout alignement chaotique", """3_CB"", ""6_CN"", ""9_CM""",IF(M791="tout alignement non loyal", """2_NB"", ""3_CB"", ""5_NN"", ""6_CN"", ""8_NM"", ""9_CM""",""""&amp;VLOOKUP(M791,Alignements!$A$2:$B$10,2, FALSE)&amp;""""))))))</f>
        <v/>
      </c>
      <c r="O791" s="298"/>
      <c r="P791" t="str">
        <f t="shared" si="38"/>
        <v>"Ver du givre": {
  "Name" : "Ver du givre",
  "VO" : "Frost Worm",
  "Family" : "MONSTROUS_CREATURE",
  "Species" : [""],
  "FP" : "17", 
  "Size" : "Gig",
  "AC" : 18,
  "HP" : 264, 
  "Speed" : "",
  "Alignments" : [],
  "Legendary" : ""}</v>
      </c>
    </row>
    <row r="792" spans="1:16">
      <c r="A792" s="61" t="s">
        <v>5569</v>
      </c>
      <c r="B792" s="297" t="s">
        <v>5570</v>
      </c>
      <c r="C792" s="305">
        <v>15</v>
      </c>
      <c r="D792" s="297" t="s">
        <v>4121</v>
      </c>
      <c r="E792" s="297" t="str">
        <f t="shared" si="36"/>
        <v>Créature monstrueuse</v>
      </c>
      <c r="F792" s="297" t="str">
        <f>VLOOKUP(E792,'Types de monstres'!$A$2:$B$17,2,FALSE)</f>
        <v>MONSTROUS_CREATURE</v>
      </c>
      <c r="G792" s="297" t="str">
        <f t="shared" si="37"/>
        <v/>
      </c>
      <c r="H792" s="297" t="str">
        <f>IF(OR(G792="",G792="toute race"),"",VLOOKUP(G792,'Types de monstres'!$F$2:$G$49,2,FALSE))</f>
        <v/>
      </c>
      <c r="I792" s="297" t="s">
        <v>4371</v>
      </c>
      <c r="J792" s="302">
        <v>18</v>
      </c>
      <c r="K792" s="302">
        <v>247</v>
      </c>
      <c r="L792" s="297"/>
      <c r="M792" s="297" t="s">
        <v>4130</v>
      </c>
      <c r="N792" s="297" t="str">
        <f>IF(M792="sans alignement","",IF(M792="tout alignement", """1_LB"", ""2_NB"", ""3_CB"", ""4_LN"", ""5_NN"", ""6_CN"", ""7_LM"", ""8_NM"", ""9_CM""",IF(M792="tout alignement non bon", """4_LN"", ""5_NN"", ""6_CN"", ""7_LM"", ""8_NM"", ""9_CM""",IF(M792="tout alignement mauvais", """7_LM"", ""8_NM"", ""9_CM""",IF(M792="tout alignement chaotique", """3_CB"", ""6_CN"", ""9_CM""",IF(M792="tout alignement non loyal", """2_NB"", ""3_CB"", ""5_NN"", ""6_CN"", ""8_NM"", ""9_CM""",""""&amp;VLOOKUP(M792,Alignements!$A$2:$B$10,2, FALSE)&amp;""""))))))</f>
        <v/>
      </c>
      <c r="O792" s="297"/>
      <c r="P792" t="str">
        <f t="shared" si="38"/>
        <v>"Ver pourpre": {
  "Name" : "Ver pourpre",
  "VO" : "Purple Worm",
  "Family" : "MONSTROUS_CREATURE",
  "Species" : [""],
  "FP" : "15", 
  "Size" : "Gig",
  "AC" : 18,
  "HP" : 247, 
  "Speed" : "",
  "Alignments" : [],
  "Legendary" : ""}</v>
      </c>
    </row>
    <row r="793" spans="1:16">
      <c r="A793" s="61" t="s">
        <v>5571</v>
      </c>
      <c r="B793" s="298" t="s">
        <v>5572</v>
      </c>
      <c r="C793" s="306">
        <v>3</v>
      </c>
      <c r="D793" s="298" t="s">
        <v>4108</v>
      </c>
      <c r="E793" s="297" t="str">
        <f t="shared" si="36"/>
        <v>Humanoïde</v>
      </c>
      <c r="F793" s="297" t="str">
        <f>VLOOKUP(E793,'Types de monstres'!$A$2:$B$17,2,FALSE)</f>
        <v>HUMANOID</v>
      </c>
      <c r="G793" s="297" t="str">
        <f t="shared" si="37"/>
        <v>toute race</v>
      </c>
      <c r="H793" s="297" t="str">
        <f>IF(OR(G793="",G793="toute race"),"",VLOOKUP(G793,'Types de monstres'!$F$2:$G$49,2,FALSE))</f>
        <v/>
      </c>
      <c r="I793" s="298" t="s">
        <v>4091</v>
      </c>
      <c r="J793" s="300">
        <v>17</v>
      </c>
      <c r="K793" s="300">
        <v>58</v>
      </c>
      <c r="L793" s="298"/>
      <c r="M793" s="298" t="s">
        <v>4109</v>
      </c>
      <c r="N793" s="297" t="str">
        <f>IF(M793="sans alignement","",IF(M793="tout alignement", """1_LB"", ""2_NB"", ""3_CB"", ""4_LN"", ""5_NN"", ""6_CN"", ""7_LM"", ""8_NM"", ""9_CM""",IF(M793="tout alignement non bon", """4_LN"", ""5_NN"", ""6_CN"", ""7_LM"", ""8_NM"", ""9_CM""",IF(M793="tout alignement mauvais", """7_LM"", ""8_NM"", ""9_CM""",IF(M793="tout alignement chaotique", """3_CB"", ""6_CN"", ""9_CM""",IF(M793="tout alignement non loyal", """2_NB"", ""3_CB"", ""5_NN"", ""6_CN"", ""8_NM"", ""9_CM""",""""&amp;VLOOKUP(M793,Alignements!$A$2:$B$10,2, FALSE)&amp;""""))))))</f>
        <v>"1_LB", "2_NB", "3_CB", "4_LN", "5_NN", "6_CN", "7_LM", "8_NM", "9_CM"</v>
      </c>
      <c r="O793" s="298"/>
      <c r="P793" t="str">
        <f t="shared" si="38"/>
        <v>"Vétéran": {
  "Name" : "Vétéran",
  "VO" : "Veteran",
  "Family" : "HUMANOID",
  "Species" : [""],
  "FP" : "3", 
  "Size" : "M",
  "AC" : 17,
  "HP" : 58, 
  "Speed" : "",
  "Alignments" : ["1_LB", "2_NB", "3_CB", "4_LN", "5_NN", "6_CN", "7_LM", "8_NM", "9_CM"],
  "Legendary" : ""}</v>
      </c>
    </row>
    <row r="794" spans="1:16">
      <c r="A794" s="61" t="s">
        <v>5573</v>
      </c>
      <c r="B794" s="297" t="s">
        <v>5573</v>
      </c>
      <c r="C794" s="305" t="s">
        <v>5618</v>
      </c>
      <c r="D794" s="297" t="s">
        <v>5574</v>
      </c>
      <c r="E794" s="297" t="str">
        <f t="shared" si="36"/>
        <v>Humanoïde</v>
      </c>
      <c r="F794" s="297" t="str">
        <f>VLOOKUP(E794,'Types de monstres'!$A$2:$B$17,2,FALSE)</f>
        <v>HUMANOID</v>
      </c>
      <c r="G794" s="297" t="str">
        <f t="shared" si="37"/>
        <v>halfelin</v>
      </c>
      <c r="H794" s="297" t="str">
        <f>IF(OR(G794="",G794="toute race"),"",VLOOKUP(G794,'Types de monstres'!$F$2:$G$49,2,FALSE))</f>
        <v>HALFELIN</v>
      </c>
      <c r="I794" s="297" t="s">
        <v>4129</v>
      </c>
      <c r="J794" s="302">
        <v>10</v>
      </c>
      <c r="K794" s="302">
        <v>9</v>
      </c>
      <c r="L794" s="297"/>
      <c r="M794" s="297" t="s">
        <v>4145</v>
      </c>
      <c r="N794" s="297" t="str">
        <f>IF(M794="sans alignement","",IF(M794="tout alignement", """1_LB"", ""2_NB"", ""3_CB"", ""4_LN"", ""5_NN"", ""6_CN"", ""7_LM"", ""8_NM"", ""9_CM""",IF(M794="tout alignement non bon", """4_LN"", ""5_NN"", ""6_CN"", ""7_LM"", ""8_NM"", ""9_CM""",IF(M794="tout alignement mauvais", """7_LM"", ""8_NM"", ""9_CM""",IF(M794="tout alignement chaotique", """3_CB"", ""6_CN"", ""9_CM""",IF(M794="tout alignement non loyal", """2_NB"", ""3_CB"", ""5_NN"", ""6_CN"", ""8_NM"", ""9_CM""",""""&amp;VLOOKUP(M794,Alignements!$A$2:$B$10,2, FALSE)&amp;""""))))))</f>
        <v>"4_LN"</v>
      </c>
      <c r="O794" s="297"/>
      <c r="P794" t="str">
        <f t="shared" si="38"/>
        <v>"Viplo": {
  "Name" : "Viplo",
  "VO" : "Viplo",
  "Family" : "HUMANOID",
  "Species" : ["HALFELIN"],
  "FP" : "1/4", 
  "Size" : "P",
  "AC" : 10,
  "HP" : 9, 
  "Speed" : "",
  "Alignments" : ["4_LN"],
  "Legendary" : ""}</v>
      </c>
    </row>
    <row r="795" spans="1:16">
      <c r="A795" s="299" t="s">
        <v>5575</v>
      </c>
      <c r="B795" s="298" t="s">
        <v>5576</v>
      </c>
      <c r="C795" s="306">
        <v>2</v>
      </c>
      <c r="D795" s="298" t="s">
        <v>4253</v>
      </c>
      <c r="E795" s="297" t="str">
        <f t="shared" si="36"/>
        <v>Fée</v>
      </c>
      <c r="F795" s="297" t="str">
        <f>VLOOKUP(E795,'Types de monstres'!$A$2:$B$17,2,FALSE)</f>
        <v>FAIRY</v>
      </c>
      <c r="G795" s="297" t="str">
        <f t="shared" si="37"/>
        <v/>
      </c>
      <c r="H795" s="297" t="str">
        <f>IF(OR(G795="",G795="toute race"),"",VLOOKUP(G795,'Types de monstres'!$F$2:$G$49,2,FALSE))</f>
        <v/>
      </c>
      <c r="I795" s="298" t="s">
        <v>4129</v>
      </c>
      <c r="J795" s="300">
        <v>15</v>
      </c>
      <c r="K795" s="300">
        <v>31</v>
      </c>
      <c r="L795" s="298"/>
      <c r="M795" s="298" t="s">
        <v>4118</v>
      </c>
      <c r="N795" s="297" t="str">
        <f>IF(M795="sans alignement","",IF(M795="tout alignement", """1_LB"", ""2_NB"", ""3_CB"", ""4_LN"", ""5_NN"", ""6_CN"", ""7_LM"", ""8_NM"", ""9_CM""",IF(M795="tout alignement non bon", """4_LN"", ""5_NN"", ""6_CN"", ""7_LM"", ""8_NM"", ""9_CM""",IF(M795="tout alignement mauvais", """7_LM"", ""8_NM"", ""9_CM""",IF(M795="tout alignement chaotique", """3_CB"", ""6_CN"", ""9_CM""",IF(M795="tout alignement non loyal", """2_NB"", ""3_CB"", ""5_NN"", ""6_CN"", ""8_NM"", ""9_CM""",""""&amp;VLOOKUP(M795,Alignements!$A$2:$B$10,2, FALSE)&amp;""""))))))</f>
        <v>"8_NM"</v>
      </c>
      <c r="O795" s="298"/>
      <c r="P795" t="str">
        <f t="shared" si="38"/>
        <v>"Vissepince": {
  "Name" : "Vissepince",
  "VO" : "Meenlock",
  "Family" : "FAIRY",
  "Species" : [""],
  "FP" : "2", 
  "Size" : "P",
  "AC" : 15,
  "HP" : 31, 
  "Speed" : "",
  "Alignments" : ["8_NM"],
  "Legendary" : ""}</v>
      </c>
    </row>
    <row r="796" spans="1:16">
      <c r="A796" s="61" t="s">
        <v>5577</v>
      </c>
      <c r="B796" s="297" t="s">
        <v>5577</v>
      </c>
      <c r="C796" s="305">
        <v>6</v>
      </c>
      <c r="D796" s="297" t="s">
        <v>4136</v>
      </c>
      <c r="E796" s="297" t="str">
        <f t="shared" si="36"/>
        <v>Fiélon</v>
      </c>
      <c r="F796" s="297" t="str">
        <f>VLOOKUP(E796,'Types de monstres'!$A$2:$B$17,2,FALSE)</f>
        <v>FIEND</v>
      </c>
      <c r="G796" s="297" t="str">
        <f t="shared" si="37"/>
        <v>démon</v>
      </c>
      <c r="H796" s="297" t="str">
        <f>IF(OR(G796="",G796="toute race"),"",VLOOKUP(G796,'Types de monstres'!$F$2:$G$49,2,FALSE))</f>
        <v>DAEMON</v>
      </c>
      <c r="I796" s="297" t="s">
        <v>4112</v>
      </c>
      <c r="J796" s="302">
        <v>15</v>
      </c>
      <c r="K796" s="302">
        <v>104</v>
      </c>
      <c r="L796" s="297" t="s">
        <v>4092</v>
      </c>
      <c r="M796" s="297" t="s">
        <v>4137</v>
      </c>
      <c r="N796" s="297" t="str">
        <f>IF(M796="sans alignement","",IF(M796="tout alignement", """1_LB"", ""2_NB"", ""3_CB"", ""4_LN"", ""5_NN"", ""6_CN"", ""7_LM"", ""8_NM"", ""9_CM""",IF(M796="tout alignement non bon", """4_LN"", ""5_NN"", ""6_CN"", ""7_LM"", ""8_NM"", ""9_CM""",IF(M796="tout alignement mauvais", """7_LM"", ""8_NM"", ""9_CM""",IF(M796="tout alignement chaotique", """3_CB"", ""6_CN"", ""9_CM""",IF(M796="tout alignement non loyal", """2_NB"", ""3_CB"", ""5_NN"", ""6_CN"", ""8_NM"", ""9_CM""",""""&amp;VLOOKUP(M796,Alignements!$A$2:$B$10,2, FALSE)&amp;""""))))))</f>
        <v>"9_CM"</v>
      </c>
      <c r="O796" s="297"/>
      <c r="P796" t="str">
        <f t="shared" si="38"/>
        <v>"Vrock": {
  "Name" : "Vrock",
  "VO" : "Vrock",
  "Family" : "FIEND",
  "Species" : ["DAEMON"],
  "FP" : "6", 
  "Size" : "G",
  "AC" : 15,
  "HP" : 104, 
  "Speed" : "vol",
  "Alignments" : ["9_CM"],
  "Legendary" : ""}</v>
      </c>
    </row>
    <row r="797" spans="1:16">
      <c r="A797" s="299" t="s">
        <v>5578</v>
      </c>
      <c r="B797" s="298" t="s">
        <v>5578</v>
      </c>
      <c r="C797" s="306">
        <v>13</v>
      </c>
      <c r="D797" s="298" t="s">
        <v>4136</v>
      </c>
      <c r="E797" s="297" t="str">
        <f t="shared" si="36"/>
        <v>Fiélon</v>
      </c>
      <c r="F797" s="297" t="str">
        <f>VLOOKUP(E797,'Types de monstres'!$A$2:$B$17,2,FALSE)</f>
        <v>FIEND</v>
      </c>
      <c r="G797" s="297" t="str">
        <f t="shared" si="37"/>
        <v>démon</v>
      </c>
      <c r="H797" s="297" t="str">
        <f>IF(OR(G797="",G797="toute race"),"",VLOOKUP(G797,'Types de monstres'!$F$2:$G$49,2,FALSE))</f>
        <v>DAEMON</v>
      </c>
      <c r="I797" s="298" t="s">
        <v>4112</v>
      </c>
      <c r="J797" s="300">
        <v>18</v>
      </c>
      <c r="K797" s="300">
        <v>157</v>
      </c>
      <c r="L797" s="298" t="s">
        <v>4113</v>
      </c>
      <c r="M797" s="298" t="s">
        <v>4137</v>
      </c>
      <c r="N797" s="297" t="str">
        <f>IF(M797="sans alignement","",IF(M797="tout alignement", """1_LB"", ""2_NB"", ""3_CB"", ""4_LN"", ""5_NN"", ""6_CN"", ""7_LM"", ""8_NM"", ""9_CM""",IF(M797="tout alignement non bon", """4_LN"", ""5_NN"", ""6_CN"", ""7_LM"", ""8_NM"", ""9_CM""",IF(M797="tout alignement mauvais", """7_LM"", ""8_NM"", ""9_CM""",IF(M797="tout alignement chaotique", """3_CB"", ""6_CN"", ""9_CM""",IF(M797="tout alignement non loyal", """2_NB"", ""3_CB"", ""5_NN"", ""6_CN"", ""8_NM"", ""9_CM""",""""&amp;VLOOKUP(M797,Alignements!$A$2:$B$10,2, FALSE)&amp;""""))))))</f>
        <v>"9_CM"</v>
      </c>
      <c r="O797" s="298"/>
      <c r="P797" t="str">
        <f t="shared" si="38"/>
        <v>"Wastrilith": {
  "Name" : "Wastrilith",
  "VO" : "Wastrilith",
  "Family" : "FIEND",
  "Species" : ["DAEMON"],
  "FP" : "13", 
  "Size" : "G",
  "AC" : 18,
  "HP" : 157, 
  "Speed" : "nage",
  "Alignments" : ["9_CM"],
  "Legendary" : ""}</v>
      </c>
    </row>
    <row r="798" spans="1:16">
      <c r="A798" s="61" t="s">
        <v>5579</v>
      </c>
      <c r="B798" s="297" t="s">
        <v>5580</v>
      </c>
      <c r="C798" s="305">
        <v>6</v>
      </c>
      <c r="D798" s="297" t="s">
        <v>4451</v>
      </c>
      <c r="E798" s="297" t="str">
        <f t="shared" si="36"/>
        <v>Dragon</v>
      </c>
      <c r="F798" s="297" t="str">
        <f>VLOOKUP(E798,'Types de monstres'!$A$2:$B$17,2,FALSE)</f>
        <v>DRAGON</v>
      </c>
      <c r="G798" s="297" t="str">
        <f t="shared" si="37"/>
        <v/>
      </c>
      <c r="H798" s="297" t="str">
        <f>IF(OR(G798="",G798="toute race"),"",VLOOKUP(G798,'Types de monstres'!$F$2:$G$49,2,FALSE))</f>
        <v/>
      </c>
      <c r="I798" s="297" t="s">
        <v>4112</v>
      </c>
      <c r="J798" s="302">
        <v>13</v>
      </c>
      <c r="K798" s="302">
        <v>110</v>
      </c>
      <c r="L798" s="297" t="s">
        <v>4092</v>
      </c>
      <c r="M798" s="297" t="s">
        <v>4130</v>
      </c>
      <c r="N798" s="297" t="str">
        <f>IF(M798="sans alignement","",IF(M798="tout alignement", """1_LB"", ""2_NB"", ""3_CB"", ""4_LN"", ""5_NN"", ""6_CN"", ""7_LM"", ""8_NM"", ""9_CM""",IF(M798="tout alignement non bon", """4_LN"", ""5_NN"", ""6_CN"", ""7_LM"", ""8_NM"", ""9_CM""",IF(M798="tout alignement mauvais", """7_LM"", ""8_NM"", ""9_CM""",IF(M798="tout alignement chaotique", """3_CB"", ""6_CN"", ""9_CM""",IF(M798="tout alignement non loyal", """2_NB"", ""3_CB"", ""5_NN"", ""6_CN"", ""8_NM"", ""9_CM""",""""&amp;VLOOKUP(M798,Alignements!$A$2:$B$10,2, FALSE)&amp;""""))))))</f>
        <v/>
      </c>
      <c r="O798" s="297"/>
      <c r="P798" t="str">
        <f t="shared" si="38"/>
        <v>"Wiverne": {
  "Name" : "Wiverne",
  "VO" : "Wyvern",
  "Family" : "DRAGON",
  "Species" : [""],
  "FP" : "6", 
  "Size" : "G",
  "AC" : 13,
  "HP" : 110, 
  "Speed" : "vol",
  "Alignments" : [],
  "Legendary" : ""}</v>
      </c>
    </row>
    <row r="799" spans="1:16">
      <c r="A799" s="61" t="s">
        <v>5581</v>
      </c>
      <c r="B799" s="298" t="s">
        <v>5581</v>
      </c>
      <c r="C799" s="306" t="s">
        <v>5620</v>
      </c>
      <c r="D799" s="298" t="s">
        <v>4121</v>
      </c>
      <c r="E799" s="297" t="str">
        <f t="shared" si="36"/>
        <v>Créature monstrueuse</v>
      </c>
      <c r="F799" s="297" t="str">
        <f>VLOOKUP(E799,'Types de monstres'!$A$2:$B$17,2,FALSE)</f>
        <v>MONSTROUS_CREATURE</v>
      </c>
      <c r="G799" s="297" t="str">
        <f t="shared" si="37"/>
        <v/>
      </c>
      <c r="H799" s="297" t="str">
        <f>IF(OR(G799="",G799="toute race"),"",VLOOKUP(G799,'Types de monstres'!$F$2:$G$49,2,FALSE))</f>
        <v/>
      </c>
      <c r="I799" s="298" t="s">
        <v>4112</v>
      </c>
      <c r="J799" s="300">
        <v>13</v>
      </c>
      <c r="K799" s="300">
        <v>26</v>
      </c>
      <c r="L799" s="298"/>
      <c r="M799" s="298" t="s">
        <v>4118</v>
      </c>
      <c r="N799" s="297" t="str">
        <f>IF(M799="sans alignement","",IF(M799="tout alignement", """1_LB"", ""2_NB"", ""3_CB"", ""4_LN"", ""5_NN"", ""6_CN"", ""7_LM"", ""8_NM"", ""9_CM""",IF(M799="tout alignement non bon", """4_LN"", ""5_NN"", ""6_CN"", ""7_LM"", ""8_NM"", ""9_CM""",IF(M799="tout alignement mauvais", """7_LM"", ""8_NM"", ""9_CM""",IF(M799="tout alignement chaotique", """3_CB"", ""6_CN"", ""9_CM""",IF(M799="tout alignement non loyal", """2_NB"", ""3_CB"", ""5_NN"", ""6_CN"", ""8_NM"", ""9_CM""",""""&amp;VLOOKUP(M799,Alignements!$A$2:$B$10,2, FALSE)&amp;""""))))))</f>
        <v>"8_NM"</v>
      </c>
      <c r="O799" s="298"/>
      <c r="P799" t="str">
        <f t="shared" si="38"/>
        <v>"Worg": {
  "Name" : "Worg",
  "VO" : "Worg",
  "Family" : "MONSTROUS_CREATURE",
  "Species" : [""],
  "FP" : "1/2", 
  "Size" : "G",
  "AC" : 13,
  "HP" : 26, 
  "Speed" : "",
  "Alignments" : ["8_NM"],
  "Legendary" : ""}</v>
      </c>
    </row>
    <row r="800" spans="1:16">
      <c r="A800" s="61" t="s">
        <v>5582</v>
      </c>
      <c r="B800" s="297" t="s">
        <v>5582</v>
      </c>
      <c r="C800" s="305">
        <v>5</v>
      </c>
      <c r="D800" s="297" t="s">
        <v>4189</v>
      </c>
      <c r="E800" s="297" t="str">
        <f t="shared" si="36"/>
        <v>Élémentaire</v>
      </c>
      <c r="F800" s="297" t="str">
        <f>VLOOKUP(E800,'Types de monstres'!$A$2:$B$17,2,FALSE)</f>
        <v>ELEMENTARY</v>
      </c>
      <c r="G800" s="297" t="str">
        <f t="shared" si="37"/>
        <v/>
      </c>
      <c r="H800" s="297" t="str">
        <f>IF(OR(G800="",G800="toute race"),"",VLOOKUP(G800,'Types de monstres'!$F$2:$G$49,2,FALSE))</f>
        <v/>
      </c>
      <c r="I800" s="297" t="s">
        <v>4091</v>
      </c>
      <c r="J800" s="302">
        <v>19</v>
      </c>
      <c r="K800" s="302">
        <v>73</v>
      </c>
      <c r="L800" s="297"/>
      <c r="M800" s="297" t="s">
        <v>4193</v>
      </c>
      <c r="N800" s="297" t="str">
        <f>IF(M800="sans alignement","",IF(M800="tout alignement", """1_LB"", ""2_NB"", ""3_CB"", ""4_LN"", ""5_NN"", ""6_CN"", ""7_LM"", ""8_NM"", ""9_CM""",IF(M800="tout alignement non bon", """4_LN"", ""5_NN"", ""6_CN"", ""7_LM"", ""8_NM"", ""9_CM""",IF(M800="tout alignement mauvais", """7_LM"", ""8_NM"", ""9_CM""",IF(M800="tout alignement chaotique", """3_CB"", ""6_CN"", ""9_CM""",IF(M800="tout alignement non loyal", """2_NB"", ""3_CB"", ""5_NN"", ""6_CN"", ""8_NM"", ""9_CM""",""""&amp;VLOOKUP(M800,Alignements!$A$2:$B$10,2, FALSE)&amp;""""))))))</f>
        <v>"5_NN"</v>
      </c>
      <c r="O800" s="297"/>
      <c r="P800" t="str">
        <f t="shared" si="38"/>
        <v>"Xorn": {
  "Name" : "Xorn",
  "VO" : "Xorn",
  "Family" : "ELEMENTARY",
  "Species" : [""],
  "FP" : "5", 
  "Size" : "M",
  "AC" : 19,
  "HP" : 73, 
  "Speed" : "",
  "Alignments" : ["5_NN"],
  "Legendary" : ""}</v>
      </c>
    </row>
    <row r="801" spans="1:16">
      <c r="A801" s="61" t="s">
        <v>5583</v>
      </c>
      <c r="B801" s="298" t="s">
        <v>5583</v>
      </c>
      <c r="C801" s="306" t="s">
        <v>5619</v>
      </c>
      <c r="D801" s="298" t="s">
        <v>5584</v>
      </c>
      <c r="E801" s="297" t="str">
        <f t="shared" si="36"/>
        <v>Humanoïde</v>
      </c>
      <c r="F801" s="297" t="str">
        <f>VLOOKUP(E801,'Types de monstres'!$A$2:$B$17,2,FALSE)</f>
        <v>HUMANOID</v>
      </c>
      <c r="G801" s="297" t="str">
        <f t="shared" si="37"/>
        <v>xvart</v>
      </c>
      <c r="H801" s="297" t="str">
        <f>IF(OR(G801="",G801="toute race"),"",VLOOKUP(G801,'Types de monstres'!$F$2:$G$49,2,FALSE))</f>
        <v>XVART</v>
      </c>
      <c r="I801" s="298" t="s">
        <v>4129</v>
      </c>
      <c r="J801" s="300">
        <v>13</v>
      </c>
      <c r="K801" s="300">
        <v>7</v>
      </c>
      <c r="L801" s="298"/>
      <c r="M801" s="298" t="s">
        <v>4137</v>
      </c>
      <c r="N801" s="297" t="str">
        <f>IF(M801="sans alignement","",IF(M801="tout alignement", """1_LB"", ""2_NB"", ""3_CB"", ""4_LN"", ""5_NN"", ""6_CN"", ""7_LM"", ""8_NM"", ""9_CM""",IF(M801="tout alignement non bon", """4_LN"", ""5_NN"", ""6_CN"", ""7_LM"", ""8_NM"", ""9_CM""",IF(M801="tout alignement mauvais", """7_LM"", ""8_NM"", ""9_CM""",IF(M801="tout alignement chaotique", """3_CB"", ""6_CN"", ""9_CM""",IF(M801="tout alignement non loyal", """2_NB"", ""3_CB"", ""5_NN"", ""6_CN"", ""8_NM"", ""9_CM""",""""&amp;VLOOKUP(M801,Alignements!$A$2:$B$10,2, FALSE)&amp;""""))))))</f>
        <v>"9_CM"</v>
      </c>
      <c r="O801" s="298"/>
      <c r="P801" t="str">
        <f t="shared" si="38"/>
        <v>"Xvart": {
  "Name" : "Xvart",
  "VO" : "Xvart",
  "Family" : "HUMANOID",
  "Species" : ["XVART"],
  "FP" : "1/8", 
  "Size" : "P",
  "AC" : 13,
  "HP" : 7, 
  "Speed" : "",
  "Alignments" : ["9_CM"],
  "Legendary" : ""}</v>
      </c>
    </row>
    <row r="802" spans="1:16" ht="21">
      <c r="A802" s="301" t="s">
        <v>5585</v>
      </c>
      <c r="B802" s="297" t="s">
        <v>5586</v>
      </c>
      <c r="C802" s="305">
        <v>1</v>
      </c>
      <c r="D802" s="297" t="s">
        <v>5584</v>
      </c>
      <c r="E802" s="297" t="str">
        <f t="shared" si="36"/>
        <v>Humanoïde</v>
      </c>
      <c r="F802" s="297" t="str">
        <f>VLOOKUP(E802,'Types de monstres'!$A$2:$B$17,2,FALSE)</f>
        <v>HUMANOID</v>
      </c>
      <c r="G802" s="297" t="str">
        <f t="shared" si="37"/>
        <v>xvart</v>
      </c>
      <c r="H802" s="297" t="str">
        <f>IF(OR(G802="",G802="toute race"),"",VLOOKUP(G802,'Types de monstres'!$F$2:$G$49,2,FALSE))</f>
        <v>XVART</v>
      </c>
      <c r="I802" s="297" t="s">
        <v>4129</v>
      </c>
      <c r="J802" s="302">
        <v>12</v>
      </c>
      <c r="K802" s="302">
        <v>22</v>
      </c>
      <c r="L802" s="297"/>
      <c r="M802" s="297" t="s">
        <v>4137</v>
      </c>
      <c r="N802" s="297" t="str">
        <f>IF(M802="sans alignement","",IF(M802="tout alignement", """1_LB"", ""2_NB"", ""3_CB"", ""4_LN"", ""5_NN"", ""6_CN"", ""7_LM"", ""8_NM"", ""9_CM""",IF(M802="tout alignement non bon", """4_LN"", ""5_NN"", ""6_CN"", ""7_LM"", ""8_NM"", ""9_CM""",IF(M802="tout alignement mauvais", """7_LM"", ""8_NM"", ""9_CM""",IF(M802="tout alignement chaotique", """3_CB"", ""6_CN"", ""9_CM""",IF(M802="tout alignement non loyal", """2_NB"", ""3_CB"", ""5_NN"", ""6_CN"", ""8_NM"", ""9_CM""",""""&amp;VLOOKUP(M802,Alignements!$A$2:$B$10,2, FALSE)&amp;""""))))))</f>
        <v>"9_CM"</v>
      </c>
      <c r="O802" s="297"/>
      <c r="P802" t="str">
        <f t="shared" si="38"/>
        <v>"Xvart, sorcier de Raxivort": {
  "Name" : "Xvart, sorcier de Raxivort",
  "VO" : "Xvart Warlock of Raxivort",
  "Family" : "HUMANOID",
  "Species" : ["XVART"],
  "FP" : "1", 
  "Size" : "P",
  "AC" : 12,
  "HP" : 22, 
  "Speed" : "",
  "Alignments" : ["9_CM"],
  "Legendary" : ""}</v>
      </c>
    </row>
    <row r="803" spans="1:16">
      <c r="A803" s="299" t="s">
        <v>5587</v>
      </c>
      <c r="B803" s="298" t="s">
        <v>5587</v>
      </c>
      <c r="C803" s="306">
        <v>11</v>
      </c>
      <c r="D803" s="298" t="s">
        <v>4173</v>
      </c>
      <c r="E803" s="297" t="str">
        <f t="shared" si="36"/>
        <v>Fiélon</v>
      </c>
      <c r="F803" s="297" t="str">
        <f>VLOOKUP(E803,'Types de monstres'!$A$2:$B$17,2,FALSE)</f>
        <v>FIEND</v>
      </c>
      <c r="G803" s="297" t="str">
        <f t="shared" si="37"/>
        <v>yugoloth</v>
      </c>
      <c r="H803" s="297" t="str">
        <f>IF(OR(G803="",G803="toute race"),"",VLOOKUP(G803,'Types de monstres'!$F$2:$G$49,2,FALSE))</f>
        <v>YUGOLOTH</v>
      </c>
      <c r="I803" s="298" t="s">
        <v>4112</v>
      </c>
      <c r="J803" s="300">
        <v>17</v>
      </c>
      <c r="K803" s="300">
        <v>147</v>
      </c>
      <c r="L803" s="298"/>
      <c r="M803" s="298" t="s">
        <v>4118</v>
      </c>
      <c r="N803" s="297" t="str">
        <f>IF(M803="sans alignement","",IF(M803="tout alignement", """1_LB"", ""2_NB"", ""3_CB"", ""4_LN"", ""5_NN"", ""6_CN"", ""7_LM"", ""8_NM"", ""9_CM""",IF(M803="tout alignement non bon", """4_LN"", ""5_NN"", ""6_CN"", ""7_LM"", ""8_NM"", ""9_CM""",IF(M803="tout alignement mauvais", """7_LM"", ""8_NM"", ""9_CM""",IF(M803="tout alignement chaotique", """3_CB"", ""6_CN"", ""9_CM""",IF(M803="tout alignement non loyal", """2_NB"", ""3_CB"", ""5_NN"", ""6_CN"", ""8_NM"", ""9_CM""",""""&amp;VLOOKUP(M803,Alignements!$A$2:$B$10,2, FALSE)&amp;""""))))))</f>
        <v>"8_NM"</v>
      </c>
      <c r="O803" s="298"/>
      <c r="P803" t="str">
        <f t="shared" si="38"/>
        <v>"Yagnoloth": {
  "Name" : "Yagnoloth",
  "VO" : "Yagnoloth",
  "Family" : "FIEND",
  "Species" : ["YUGOLOTH"],
  "FP" : "11", 
  "Size" : "G",
  "AC" : 17,
  "HP" : 147, 
  "Speed" : "",
  "Alignments" : ["8_NM"],
  "Legendary" : ""}</v>
      </c>
    </row>
    <row r="804" spans="1:16">
      <c r="A804" s="301" t="s">
        <v>5588</v>
      </c>
      <c r="B804" s="297" t="s">
        <v>5588</v>
      </c>
      <c r="C804" s="305">
        <v>24</v>
      </c>
      <c r="D804" s="297" t="s">
        <v>4136</v>
      </c>
      <c r="E804" s="297" t="str">
        <f t="shared" si="36"/>
        <v>Fiélon</v>
      </c>
      <c r="F804" s="297" t="str">
        <f>VLOOKUP(E804,'Types de monstres'!$A$2:$B$17,2,FALSE)</f>
        <v>FIEND</v>
      </c>
      <c r="G804" s="297" t="str">
        <f t="shared" si="37"/>
        <v>démon</v>
      </c>
      <c r="H804" s="297" t="str">
        <f>IF(OR(G804="",G804="toute race"),"",VLOOKUP(G804,'Types de monstres'!$F$2:$G$49,2,FALSE))</f>
        <v>DAEMON</v>
      </c>
      <c r="I804" s="297" t="s">
        <v>4149</v>
      </c>
      <c r="J804" s="302">
        <v>20</v>
      </c>
      <c r="K804" s="302">
        <v>333</v>
      </c>
      <c r="L804" s="297"/>
      <c r="M804" s="297" t="s">
        <v>4137</v>
      </c>
      <c r="N804" s="297" t="str">
        <f>IF(M804="sans alignement","",IF(M804="tout alignement", """1_LB"", ""2_NB"", ""3_CB"", ""4_LN"", ""5_NN"", ""6_CN"", ""7_LM"", ""8_NM"", ""9_CM""",IF(M804="tout alignement non bon", """4_LN"", ""5_NN"", ""6_CN"", ""7_LM"", ""8_NM"", ""9_CM""",IF(M804="tout alignement mauvais", """7_LM"", ""8_NM"", ""9_CM""",IF(M804="tout alignement chaotique", """3_CB"", ""6_CN"", ""9_CM""",IF(M804="tout alignement non loyal", """2_NB"", ""3_CB"", ""5_NN"", ""6_CN"", ""8_NM"", ""9_CM""",""""&amp;VLOOKUP(M804,Alignements!$A$2:$B$10,2, FALSE)&amp;""""))))))</f>
        <v>"9_CM"</v>
      </c>
      <c r="O804" s="297"/>
      <c r="P804" t="str">
        <f t="shared" si="38"/>
        <v>"Yeenoghu": {
  "Name" : "Yeenoghu",
  "VO" : "Yeenoghu",
  "Family" : "FIEND",
  "Species" : ["DAEMON"],
  "FP" : "24", 
  "Size" : "TG",
  "AC" : 20,
  "HP" : 333, 
  "Speed" : "",
  "Alignments" : ["9_CM"],
  "Legendary" : ""}</v>
      </c>
    </row>
    <row r="805" spans="1:16">
      <c r="A805" s="61" t="s">
        <v>5589</v>
      </c>
      <c r="B805" s="298" t="s">
        <v>5590</v>
      </c>
      <c r="C805" s="306">
        <v>3</v>
      </c>
      <c r="D805" s="298" t="s">
        <v>4121</v>
      </c>
      <c r="E805" s="297" t="str">
        <f t="shared" si="36"/>
        <v>Créature monstrueuse</v>
      </c>
      <c r="F805" s="297" t="str">
        <f>VLOOKUP(E805,'Types de monstres'!$A$2:$B$17,2,FALSE)</f>
        <v>MONSTROUS_CREATURE</v>
      </c>
      <c r="G805" s="297" t="str">
        <f t="shared" si="37"/>
        <v/>
      </c>
      <c r="H805" s="297" t="str">
        <f>IF(OR(G805="",G805="toute race"),"",VLOOKUP(G805,'Types de monstres'!$F$2:$G$49,2,FALSE))</f>
        <v/>
      </c>
      <c r="I805" s="298" t="s">
        <v>4112</v>
      </c>
      <c r="J805" s="300">
        <v>12</v>
      </c>
      <c r="K805" s="300">
        <v>51</v>
      </c>
      <c r="L805" s="298"/>
      <c r="M805" s="298" t="s">
        <v>4137</v>
      </c>
      <c r="N805" s="297" t="str">
        <f>IF(M805="sans alignement","",IF(M805="tout alignement", """1_LB"", ""2_NB"", ""3_CB"", ""4_LN"", ""5_NN"", ""6_CN"", ""7_LM"", ""8_NM"", ""9_CM""",IF(M805="tout alignement non bon", """4_LN"", ""5_NN"", ""6_CN"", ""7_LM"", ""8_NM"", ""9_CM""",IF(M805="tout alignement mauvais", """7_LM"", ""8_NM"", ""9_CM""",IF(M805="tout alignement chaotique", """3_CB"", ""6_CN"", ""9_CM""",IF(M805="tout alignement non loyal", """2_NB"", ""3_CB"", ""5_NN"", ""6_CN"", ""8_NM"", ""9_CM""",""""&amp;VLOOKUP(M805,Alignements!$A$2:$B$10,2, FALSE)&amp;""""))))))</f>
        <v>"9_CM"</v>
      </c>
      <c r="O805" s="298"/>
      <c r="P805" t="str">
        <f t="shared" si="38"/>
        <v>"Yéti": {
  "Name" : "Yéti",
  "VO" : "Yeti",
  "Family" : "MONSTROUS_CREATURE",
  "Species" : [""],
  "FP" : "3", 
  "Size" : "G",
  "AC" : 12,
  "HP" : 51, 
  "Speed" : "",
  "Alignments" : ["9_CM"],
  "Legendary" : ""}</v>
      </c>
    </row>
    <row r="806" spans="1:16">
      <c r="A806" s="61" t="s">
        <v>5591</v>
      </c>
      <c r="B806" s="297" t="s">
        <v>5592</v>
      </c>
      <c r="C806" s="305">
        <v>9</v>
      </c>
      <c r="D806" s="297" t="s">
        <v>4121</v>
      </c>
      <c r="E806" s="297" t="str">
        <f t="shared" si="36"/>
        <v>Créature monstrueuse</v>
      </c>
      <c r="F806" s="297" t="str">
        <f>VLOOKUP(E806,'Types de monstres'!$A$2:$B$17,2,FALSE)</f>
        <v>MONSTROUS_CREATURE</v>
      </c>
      <c r="G806" s="297" t="str">
        <f t="shared" si="37"/>
        <v/>
      </c>
      <c r="H806" s="297" t="str">
        <f>IF(OR(G806="",G806="toute race"),"",VLOOKUP(G806,'Types de monstres'!$F$2:$G$49,2,FALSE))</f>
        <v/>
      </c>
      <c r="I806" s="297" t="s">
        <v>4149</v>
      </c>
      <c r="J806" s="302">
        <v>15</v>
      </c>
      <c r="K806" s="302">
        <v>137</v>
      </c>
      <c r="L806" s="297"/>
      <c r="M806" s="297" t="s">
        <v>4137</v>
      </c>
      <c r="N806" s="297" t="str">
        <f>IF(M806="sans alignement","",IF(M806="tout alignement", """1_LB"", ""2_NB"", ""3_CB"", ""4_LN"", ""5_NN"", ""6_CN"", ""7_LM"", ""8_NM"", ""9_CM""",IF(M806="tout alignement non bon", """4_LN"", ""5_NN"", ""6_CN"", ""7_LM"", ""8_NM"", ""9_CM""",IF(M806="tout alignement mauvais", """7_LM"", ""8_NM"", ""9_CM""",IF(M806="tout alignement chaotique", """3_CB"", ""6_CN"", ""9_CM""",IF(M806="tout alignement non loyal", """2_NB"", ""3_CB"", ""5_NN"", ""6_CN"", ""8_NM"", ""9_CM""",""""&amp;VLOOKUP(M806,Alignements!$A$2:$B$10,2, FALSE)&amp;""""))))))</f>
        <v>"9_CM"</v>
      </c>
      <c r="O806" s="297"/>
      <c r="P806" t="str">
        <f t="shared" si="38"/>
        <v>"Yéti abominable": {
  "Name" : "Yéti abominable",
  "VO" : "Abominable Yeti",
  "Family" : "MONSTROUS_CREATURE",
  "Species" : [""],
  "FP" : "9", 
  "Size" : "TG",
  "AC" : 15,
  "HP" : 137, 
  "Speed" : "",
  "Alignments" : ["9_CM"],
  "Legendary" : ""}</v>
      </c>
    </row>
    <row r="807" spans="1:16" ht="21">
      <c r="A807" s="61" t="s">
        <v>5593</v>
      </c>
      <c r="B807" s="298" t="s">
        <v>5593</v>
      </c>
      <c r="C807" s="306">
        <v>10</v>
      </c>
      <c r="D807" s="298" t="s">
        <v>4822</v>
      </c>
      <c r="E807" s="297" t="str">
        <f t="shared" si="36"/>
        <v>Fiélon</v>
      </c>
      <c r="F807" s="297" t="str">
        <f>VLOOKUP(E807,'Types de monstres'!$A$2:$B$17,2,FALSE)</f>
        <v>FIEND</v>
      </c>
      <c r="G807" s="297" t="str">
        <f t="shared" si="37"/>
        <v>démon, métamorphe</v>
      </c>
      <c r="H807" s="297" t="s">
        <v>5720</v>
      </c>
      <c r="I807" s="298" t="s">
        <v>4091</v>
      </c>
      <c r="J807" s="300">
        <v>15</v>
      </c>
      <c r="K807" s="300">
        <v>136</v>
      </c>
      <c r="L807" s="298"/>
      <c r="M807" s="298" t="s">
        <v>4137</v>
      </c>
      <c r="N807" s="297" t="str">
        <f>IF(M807="sans alignement","",IF(M807="tout alignement", """1_LB"", ""2_NB"", ""3_CB"", ""4_LN"", ""5_NN"", ""6_CN"", ""7_LM"", ""8_NM"", ""9_CM""",IF(M807="tout alignement non bon", """4_LN"", ""5_NN"", ""6_CN"", ""7_LM"", ""8_NM"", ""9_CM""",IF(M807="tout alignement mauvais", """7_LM"", ""8_NM"", ""9_CM""",IF(M807="tout alignement chaotique", """3_CB"", ""6_CN"", ""9_CM""",IF(M807="tout alignement non loyal", """2_NB"", ""3_CB"", ""5_NN"", ""6_CN"", ""8_NM"", ""9_CM""",""""&amp;VLOOKUP(M807,Alignements!$A$2:$B$10,2, FALSE)&amp;""""))))))</f>
        <v>"9_CM"</v>
      </c>
      <c r="O807" s="298"/>
      <c r="P807" t="str">
        <f t="shared" si="38"/>
        <v>"Yochlol": {
  "Name" : "Yochlol",
  "VO" : "Yochlol",
  "Family" : "FIEND",
  "Species" : ["DAEMON", "METAMORPH"],
  "FP" : "10", 
  "Size" : "M",
  "AC" : 15,
  "HP" : 136, 
  "Speed" : "",
  "Alignments" : ["9_CM"],
  "Legendary" : ""}</v>
      </c>
    </row>
    <row r="808" spans="1:16" ht="21">
      <c r="A808" s="61" t="s">
        <v>5594</v>
      </c>
      <c r="B808" s="297" t="s">
        <v>5595</v>
      </c>
      <c r="C808" s="305">
        <v>7</v>
      </c>
      <c r="D808" s="297" t="s">
        <v>5596</v>
      </c>
      <c r="E808" s="297" t="str">
        <f t="shared" si="36"/>
        <v>Créature monstrueuse</v>
      </c>
      <c r="F808" s="297" t="str">
        <f>VLOOKUP(E808,'Types de monstres'!$A$2:$B$17,2,FALSE)</f>
        <v>MONSTROUS_CREATURE</v>
      </c>
      <c r="G808" s="297" t="str">
        <f t="shared" si="37"/>
        <v>métamorphe, yuan-ti</v>
      </c>
      <c r="H808" s="297" t="s">
        <v>5719</v>
      </c>
      <c r="I808" s="297" t="s">
        <v>4112</v>
      </c>
      <c r="J808" s="302">
        <v>15</v>
      </c>
      <c r="K808" s="302">
        <v>127</v>
      </c>
      <c r="L808" s="297"/>
      <c r="M808" s="297" t="s">
        <v>4118</v>
      </c>
      <c r="N808" s="297" t="str">
        <f>IF(M808="sans alignement","",IF(M808="tout alignement", """1_LB"", ""2_NB"", ""3_CB"", ""4_LN"", ""5_NN"", ""6_CN"", ""7_LM"", ""8_NM"", ""9_CM""",IF(M808="tout alignement non bon", """4_LN"", ""5_NN"", ""6_CN"", ""7_LM"", ""8_NM"", ""9_CM""",IF(M808="tout alignement mauvais", """7_LM"", ""8_NM"", ""9_CM""",IF(M808="tout alignement chaotique", """3_CB"", ""6_CN"", ""9_CM""",IF(M808="tout alignement non loyal", """2_NB"", ""3_CB"", ""5_NN"", ""6_CN"", ""8_NM"", ""9_CM""",""""&amp;VLOOKUP(M808,Alignements!$A$2:$B$10,2, FALSE)&amp;""""))))))</f>
        <v>"8_NM"</v>
      </c>
      <c r="O808" s="297"/>
      <c r="P808" t="str">
        <f t="shared" si="38"/>
        <v>"Yuan-ti, abomination": {
  "Name" : "Yuan-ti, abomination",
  "VO" : "Yuan-ti Abomination",
  "Family" : "MONSTROUS_CREATURE",
  "Species" : ["METAMORPH", "YUAN_TI"],
  "FP" : "7", 
  "Size" : "G",
  "AC" : 15,
  "HP" : 127, 
  "Speed" : "",
  "Alignments" : ["8_NM"],
  "Legendary" : ""}</v>
      </c>
    </row>
    <row r="809" spans="1:16" ht="21">
      <c r="A809" s="299" t="s">
        <v>5597</v>
      </c>
      <c r="B809" s="298" t="s">
        <v>5598</v>
      </c>
      <c r="C809" s="306">
        <v>12</v>
      </c>
      <c r="D809" s="298" t="s">
        <v>5596</v>
      </c>
      <c r="E809" s="297" t="str">
        <f t="shared" si="36"/>
        <v>Créature monstrueuse</v>
      </c>
      <c r="F809" s="297" t="str">
        <f>VLOOKUP(E809,'Types de monstres'!$A$2:$B$17,2,FALSE)</f>
        <v>MONSTROUS_CREATURE</v>
      </c>
      <c r="G809" s="297" t="str">
        <f t="shared" si="37"/>
        <v>métamorphe, yuan-ti</v>
      </c>
      <c r="H809" s="297" t="s">
        <v>5719</v>
      </c>
      <c r="I809" s="298" t="s">
        <v>4149</v>
      </c>
      <c r="J809" s="300">
        <v>16</v>
      </c>
      <c r="K809" s="300">
        <v>189</v>
      </c>
      <c r="L809" s="298" t="s">
        <v>4113</v>
      </c>
      <c r="M809" s="298" t="s">
        <v>4118</v>
      </c>
      <c r="N809" s="297" t="str">
        <f>IF(M809="sans alignement","",IF(M809="tout alignement", """1_LB"", ""2_NB"", ""3_CB"", ""4_LN"", ""5_NN"", ""6_CN"", ""7_LM"", ""8_NM"", ""9_CM""",IF(M809="tout alignement non bon", """4_LN"", ""5_NN"", ""6_CN"", ""7_LM"", ""8_NM"", ""9_CM""",IF(M809="tout alignement mauvais", """7_LM"", ""8_NM"", ""9_CM""",IF(M809="tout alignement chaotique", """3_CB"", ""6_CN"", ""9_CM""",IF(M809="tout alignement non loyal", """2_NB"", ""3_CB"", ""5_NN"", ""6_CN"", ""8_NM"", ""9_CM""",""""&amp;VLOOKUP(M809,Alignements!$A$2:$B$10,2, FALSE)&amp;""""))))))</f>
        <v>"8_NM"</v>
      </c>
      <c r="O809" s="298"/>
      <c r="P809" t="str">
        <f t="shared" si="38"/>
        <v>"Yuan-ti, anathème": {
  "Name" : "Yuan-ti, anathème",
  "VO" : "Yuan-ti Anathema",
  "Family" : "MONSTROUS_CREATURE",
  "Species" : ["METAMORPH", "YUAN_TI"],
  "FP" : "12", 
  "Size" : "TG",
  "AC" : 16,
  "HP" : 189, 
  "Speed" : "nage",
  "Alignments" : ["8_NM"],
  "Legendary" : ""}</v>
      </c>
    </row>
    <row r="810" spans="1:16" ht="21">
      <c r="A810" s="61" t="s">
        <v>5599</v>
      </c>
      <c r="B810" s="297" t="s">
        <v>5600</v>
      </c>
      <c r="C810" s="305">
        <v>4</v>
      </c>
      <c r="D810" s="297" t="s">
        <v>5596</v>
      </c>
      <c r="E810" s="297" t="str">
        <f t="shared" si="36"/>
        <v>Créature monstrueuse</v>
      </c>
      <c r="F810" s="297" t="str">
        <f>VLOOKUP(E810,'Types de monstres'!$A$2:$B$17,2,FALSE)</f>
        <v>MONSTROUS_CREATURE</v>
      </c>
      <c r="G810" s="297" t="str">
        <f t="shared" si="37"/>
        <v>métamorphe, yuan-ti</v>
      </c>
      <c r="H810" s="297" t="s">
        <v>5719</v>
      </c>
      <c r="I810" s="297" t="s">
        <v>4091</v>
      </c>
      <c r="J810" s="302">
        <v>14</v>
      </c>
      <c r="K810" s="302">
        <v>71</v>
      </c>
      <c r="L810" s="297"/>
      <c r="M810" s="297" t="s">
        <v>4118</v>
      </c>
      <c r="N810" s="297" t="str">
        <f>IF(M810="sans alignement","",IF(M810="tout alignement", """1_LB"", ""2_NB"", ""3_CB"", ""4_LN"", ""5_NN"", ""6_CN"", ""7_LM"", ""8_NM"", ""9_CM""",IF(M810="tout alignement non bon", """4_LN"", ""5_NN"", ""6_CN"", ""7_LM"", ""8_NM"", ""9_CM""",IF(M810="tout alignement mauvais", """7_LM"", ""8_NM"", ""9_CM""",IF(M810="tout alignement chaotique", """3_CB"", ""6_CN"", ""9_CM""",IF(M810="tout alignement non loyal", """2_NB"", ""3_CB"", ""5_NN"", ""6_CN"", ""8_NM"", ""9_CM""",""""&amp;VLOOKUP(M810,Alignements!$A$2:$B$10,2, FALSE)&amp;""""))))))</f>
        <v>"8_NM"</v>
      </c>
      <c r="O810" s="297"/>
      <c r="P810" t="str">
        <f t="shared" si="38"/>
        <v>"Yuan-ti, annonciateur de cauchemars": {
  "Name" : "Yuan-ti, annonciateur de cauchemars",
  "VO" : "Yuan-ti Nightmare Speaker",
  "Family" : "MONSTROUS_CREATURE",
  "Species" : ["METAMORPH", "YUAN_TI"],
  "FP" : "4", 
  "Size" : "M",
  "AC" : 14,
  "HP" : 71, 
  "Speed" : "",
  "Alignments" : ["8_NM"],
  "Legendary" : ""}</v>
      </c>
    </row>
    <row r="811" spans="1:16" ht="21">
      <c r="A811" s="299" t="s">
        <v>5601</v>
      </c>
      <c r="B811" s="298" t="s">
        <v>5602</v>
      </c>
      <c r="C811" s="306">
        <v>4</v>
      </c>
      <c r="D811" s="298" t="s">
        <v>5596</v>
      </c>
      <c r="E811" s="297" t="str">
        <f t="shared" si="36"/>
        <v>Créature monstrueuse</v>
      </c>
      <c r="F811" s="297" t="str">
        <f>VLOOKUP(E811,'Types de monstres'!$A$2:$B$17,2,FALSE)</f>
        <v>MONSTROUS_CREATURE</v>
      </c>
      <c r="G811" s="297" t="str">
        <f t="shared" si="37"/>
        <v>métamorphe, yuan-ti</v>
      </c>
      <c r="H811" s="297" t="s">
        <v>5719</v>
      </c>
      <c r="I811" s="298" t="s">
        <v>4091</v>
      </c>
      <c r="J811" s="300">
        <v>14</v>
      </c>
      <c r="K811" s="300">
        <v>71</v>
      </c>
      <c r="L811" s="298"/>
      <c r="M811" s="298" t="s">
        <v>4118</v>
      </c>
      <c r="N811" s="297" t="str">
        <f>IF(M811="sans alignement","",IF(M811="tout alignement", """1_LB"", ""2_NB"", ""3_CB"", ""4_LN"", ""5_NN"", ""6_CN"", ""7_LM"", ""8_NM"", ""9_CM""",IF(M811="tout alignement non bon", """4_LN"", ""5_NN"", ""6_CN"", ""7_LM"", ""8_NM"", ""9_CM""",IF(M811="tout alignement mauvais", """7_LM"", ""8_NM"", ""9_CM""",IF(M811="tout alignement chaotique", """3_CB"", ""6_CN"", ""9_CM""",IF(M811="tout alignement non loyal", """2_NB"", ""3_CB"", ""5_NN"", ""6_CN"", ""8_NM"", ""9_CM""",""""&amp;VLOOKUP(M811,Alignements!$A$2:$B$10,2, FALSE)&amp;""""))))))</f>
        <v>"8_NM"</v>
      </c>
      <c r="O811" s="298"/>
      <c r="P811" t="str">
        <f t="shared" si="38"/>
        <v>"Yuan-ti, chuchoteur de consciences": {
  "Name" : "Yuan-ti, chuchoteur de consciences",
  "VO" : "Yuan-ti Mind Whisperer",
  "Family" : "MONSTROUS_CREATURE",
  "Species" : ["METAMORPH", "YUAN_TI"],
  "FP" : "4", 
  "Size" : "M",
  "AC" : 14,
  "HP" : 71, 
  "Speed" : "",
  "Alignments" : ["8_NM"],
  "Legendary" : ""}</v>
      </c>
    </row>
    <row r="812" spans="1:16" ht="21">
      <c r="A812" s="301" t="s">
        <v>5603</v>
      </c>
      <c r="B812" s="297" t="s">
        <v>5604</v>
      </c>
      <c r="C812" s="305">
        <v>2</v>
      </c>
      <c r="D812" s="297" t="s">
        <v>4993</v>
      </c>
      <c r="E812" s="297" t="str">
        <f t="shared" si="36"/>
        <v>Humanoïde</v>
      </c>
      <c r="F812" s="297" t="str">
        <f>VLOOKUP(E812,'Types de monstres'!$A$2:$B$17,2,FALSE)</f>
        <v>HUMANOID</v>
      </c>
      <c r="G812" s="297" t="str">
        <f t="shared" si="37"/>
        <v>yuan-ti</v>
      </c>
      <c r="H812" s="297" t="str">
        <f>IF(OR(G812="",G812="toute race"),"",VLOOKUP(G812,'Types de monstres'!$F$2:$G$49,2,FALSE))</f>
        <v>YUAN_TI</v>
      </c>
      <c r="I812" s="297" t="s">
        <v>4091</v>
      </c>
      <c r="J812" s="302">
        <v>14</v>
      </c>
      <c r="K812" s="302">
        <v>45</v>
      </c>
      <c r="L812" s="297"/>
      <c r="M812" s="297" t="s">
        <v>4118</v>
      </c>
      <c r="N812" s="297" t="str">
        <f>IF(M812="sans alignement","",IF(M812="tout alignement", """1_LB"", ""2_NB"", ""3_CB"", ""4_LN"", ""5_NN"", ""6_CN"", ""7_LM"", ""8_NM"", ""9_CM""",IF(M812="tout alignement non bon", """4_LN"", ""5_NN"", ""6_CN"", ""7_LM"", ""8_NM"", ""9_CM""",IF(M812="tout alignement mauvais", """7_LM"", ""8_NM"", ""9_CM""",IF(M812="tout alignement chaotique", """3_CB"", ""6_CN"", ""9_CM""",IF(M812="tout alignement non loyal", """2_NB"", ""3_CB"", ""5_NN"", ""6_CN"", ""8_NM"", ""9_CM""",""""&amp;VLOOKUP(M812,Alignements!$A$2:$B$10,2, FALSE)&amp;""""))))))</f>
        <v>"8_NM"</v>
      </c>
      <c r="O812" s="297"/>
      <c r="P812" t="str">
        <f t="shared" si="38"/>
        <v>"Yuan-ti, garde des couvés": {
  "Name" : "Yuan-ti, garde des couvés",
  "VO" : "Yuan-ti Broodguard",
  "Family" : "HUMANOID",
  "Species" : ["YUAN_TI"],
  "FP" : "2", 
  "Size" : "M",
  "AC" : 14,
  "HP" : 45, 
  "Speed" : "",
  "Alignments" : ["8_NM"],
  "Legendary" : ""}</v>
      </c>
    </row>
    <row r="813" spans="1:16" ht="21">
      <c r="A813" s="299" t="s">
        <v>5605</v>
      </c>
      <c r="B813" s="298" t="s">
        <v>5606</v>
      </c>
      <c r="C813" s="306">
        <v>5</v>
      </c>
      <c r="D813" s="298" t="s">
        <v>5596</v>
      </c>
      <c r="E813" s="297" t="str">
        <f t="shared" si="36"/>
        <v>Créature monstrueuse</v>
      </c>
      <c r="F813" s="297" t="str">
        <f>VLOOKUP(E813,'Types de monstres'!$A$2:$B$17,2,FALSE)</f>
        <v>MONSTROUS_CREATURE</v>
      </c>
      <c r="G813" s="297" t="str">
        <f t="shared" si="37"/>
        <v>métamorphe, yuan-ti</v>
      </c>
      <c r="H813" s="297" t="s">
        <v>5719</v>
      </c>
      <c r="I813" s="298" t="s">
        <v>4091</v>
      </c>
      <c r="J813" s="300">
        <v>14</v>
      </c>
      <c r="K813" s="300">
        <v>88</v>
      </c>
      <c r="L813" s="298"/>
      <c r="M813" s="298" t="s">
        <v>4118</v>
      </c>
      <c r="N813" s="297" t="str">
        <f>IF(M813="sans alignement","",IF(M813="tout alignement", """1_LB"", ""2_NB"", ""3_CB"", ""4_LN"", ""5_NN"", ""6_CN"", ""7_LM"", ""8_NM"", ""9_CM""",IF(M813="tout alignement non bon", """4_LN"", ""5_NN"", ""6_CN"", ""7_LM"", ""8_NM"", ""9_CM""",IF(M813="tout alignement mauvais", """7_LM"", ""8_NM"", ""9_CM""",IF(M813="tout alignement chaotique", """3_CB"", ""6_CN"", ""9_CM""",IF(M813="tout alignement non loyal", """2_NB"", ""3_CB"", ""5_NN"", ""6_CN"", ""8_NM"", ""9_CM""",""""&amp;VLOOKUP(M813,Alignements!$A$2:$B$10,2, FALSE)&amp;""""))))))</f>
        <v>"8_NM"</v>
      </c>
      <c r="O813" s="298"/>
      <c r="P813" t="str">
        <f t="shared" si="38"/>
        <v>"Yuan-ti, maître des fosses": {
  "Name" : "Yuan-ti, maître des fosses",
  "VO" : "Yuan-ti Pit Master",
  "Family" : "MONSTROUS_CREATURE",
  "Species" : ["METAMORPH", "YUAN_TI"],
  "FP" : "5", 
  "Size" : "M",
  "AC" : 14,
  "HP" : 88, 
  "Speed" : "",
  "Alignments" : ["8_NM"],
  "Legendary" : ""}</v>
      </c>
    </row>
    <row r="814" spans="1:16" ht="21">
      <c r="A814" s="61" t="s">
        <v>5607</v>
      </c>
      <c r="B814" s="297" t="s">
        <v>5608</v>
      </c>
      <c r="C814" s="305">
        <v>3</v>
      </c>
      <c r="D814" s="297" t="s">
        <v>5596</v>
      </c>
      <c r="E814" s="297" t="str">
        <f t="shared" si="36"/>
        <v>Créature monstrueuse</v>
      </c>
      <c r="F814" s="297" t="str">
        <f>VLOOKUP(E814,'Types de monstres'!$A$2:$B$17,2,FALSE)</f>
        <v>MONSTROUS_CREATURE</v>
      </c>
      <c r="G814" s="297" t="str">
        <f t="shared" si="37"/>
        <v>métamorphe, yuan-ti</v>
      </c>
      <c r="H814" s="297" t="s">
        <v>5719</v>
      </c>
      <c r="I814" s="297" t="s">
        <v>4091</v>
      </c>
      <c r="J814" s="302">
        <v>12</v>
      </c>
      <c r="K814" s="302">
        <v>66</v>
      </c>
      <c r="L814" s="297"/>
      <c r="M814" s="297" t="s">
        <v>4118</v>
      </c>
      <c r="N814" s="297" t="str">
        <f>IF(M814="sans alignement","",IF(M814="tout alignement", """1_LB"", ""2_NB"", ""3_CB"", ""4_LN"", ""5_NN"", ""6_CN"", ""7_LM"", ""8_NM"", ""9_CM""",IF(M814="tout alignement non bon", """4_LN"", ""5_NN"", ""6_CN"", ""7_LM"", ""8_NM"", ""9_CM""",IF(M814="tout alignement mauvais", """7_LM"", ""8_NM"", ""9_CM""",IF(M814="tout alignement chaotique", """3_CB"", ""6_CN"", ""9_CM""",IF(M814="tout alignement non loyal", """2_NB"", ""3_CB"", ""5_NN"", ""6_CN"", ""8_NM"", ""9_CM""",""""&amp;VLOOKUP(M814,Alignements!$A$2:$B$10,2, FALSE)&amp;""""))))))</f>
        <v>"8_NM"</v>
      </c>
      <c r="O814" s="297"/>
      <c r="P814" t="str">
        <f t="shared" si="38"/>
        <v>"Yuan-ti, malison": {
  "Name" : "Yuan-ti, malison",
  "VO" : "Yuan-ti Malison",
  "Family" : "MONSTROUS_CREATURE",
  "Species" : ["METAMORPH", "YUAN_TI"],
  "FP" : "3", 
  "Size" : "M",
  "AC" : 12,
  "HP" : 66, 
  "Speed" : "",
  "Alignments" : ["8_NM"],
  "Legendary" : ""}</v>
      </c>
    </row>
    <row r="815" spans="1:16">
      <c r="A815" s="61" t="s">
        <v>5609</v>
      </c>
      <c r="B815" s="298" t="s">
        <v>5610</v>
      </c>
      <c r="C815" s="306">
        <v>1</v>
      </c>
      <c r="D815" s="298" t="s">
        <v>4993</v>
      </c>
      <c r="E815" s="297" t="str">
        <f t="shared" si="36"/>
        <v>Humanoïde</v>
      </c>
      <c r="F815" s="297" t="str">
        <f>VLOOKUP(E815,'Types de monstres'!$A$2:$B$17,2,FALSE)</f>
        <v>HUMANOID</v>
      </c>
      <c r="G815" s="297" t="str">
        <f t="shared" si="37"/>
        <v>yuan-ti</v>
      </c>
      <c r="H815" s="297" t="str">
        <f>IF(OR(G815="",G815="toute race"),"",VLOOKUP(G815,'Types de monstres'!$F$2:$G$49,2,FALSE))</f>
        <v>YUAN_TI</v>
      </c>
      <c r="I815" s="298" t="s">
        <v>4091</v>
      </c>
      <c r="J815" s="300">
        <v>11</v>
      </c>
      <c r="K815" s="300">
        <v>40</v>
      </c>
      <c r="L815" s="298"/>
      <c r="M815" s="298" t="s">
        <v>4118</v>
      </c>
      <c r="N815" s="297" t="str">
        <f>IF(M815="sans alignement","",IF(M815="tout alignement", """1_LB"", ""2_NB"", ""3_CB"", ""4_LN"", ""5_NN"", ""6_CN"", ""7_LM"", ""8_NM"", ""9_CM""",IF(M815="tout alignement non bon", """4_LN"", ""5_NN"", ""6_CN"", ""7_LM"", ""8_NM"", ""9_CM""",IF(M815="tout alignement mauvais", """7_LM"", ""8_NM"", ""9_CM""",IF(M815="tout alignement chaotique", """3_CB"", ""6_CN"", ""9_CM""",IF(M815="tout alignement non loyal", """2_NB"", ""3_CB"", ""5_NN"", ""6_CN"", ""8_NM"", ""9_CM""",""""&amp;VLOOKUP(M815,Alignements!$A$2:$B$10,2, FALSE)&amp;""""))))))</f>
        <v>"8_NM"</v>
      </c>
      <c r="O815" s="298"/>
      <c r="P815" t="str">
        <f t="shared" si="38"/>
        <v>"Yuan-ti, sang-pur": {
  "Name" : "Yuan-ti, sang-pur",
  "VO" : "Yuan-ti Pureblood",
  "Family" : "HUMANOID",
  "Species" : ["YUAN_TI"],
  "FP" : "1", 
  "Size" : "M",
  "AC" : 11,
  "HP" : 40, 
  "Speed" : "",
  "Alignments" : ["8_NM"],
  "Legendary" : ""}</v>
      </c>
    </row>
    <row r="816" spans="1:16">
      <c r="A816" s="301" t="s">
        <v>5611</v>
      </c>
      <c r="B816" s="297" t="s">
        <v>5611</v>
      </c>
      <c r="C816" s="305">
        <v>22</v>
      </c>
      <c r="D816" s="297" t="s">
        <v>4189</v>
      </c>
      <c r="E816" s="297" t="str">
        <f t="shared" si="36"/>
        <v>Élémentaire</v>
      </c>
      <c r="F816" s="297" t="str">
        <f>VLOOKUP(E816,'Types de monstres'!$A$2:$B$17,2,FALSE)</f>
        <v>ELEMENTARY</v>
      </c>
      <c r="G816" s="297" t="str">
        <f t="shared" si="37"/>
        <v/>
      </c>
      <c r="H816" s="297" t="str">
        <f>IF(OR(G816="",G816="toute race"),"",VLOOKUP(G816,'Types de monstres'!$F$2:$G$49,2,FALSE))</f>
        <v/>
      </c>
      <c r="I816" s="297" t="s">
        <v>4371</v>
      </c>
      <c r="J816" s="302">
        <v>21</v>
      </c>
      <c r="K816" s="302">
        <v>307</v>
      </c>
      <c r="L816" s="297" t="s">
        <v>4113</v>
      </c>
      <c r="M816" s="297" t="s">
        <v>4193</v>
      </c>
      <c r="N816" s="297" t="str">
        <f>IF(M816="sans alignement","",IF(M816="tout alignement", """1_LB"", ""2_NB"", ""3_CB"", ""4_LN"", ""5_NN"", ""6_CN"", ""7_LM"", ""8_NM"", ""9_CM""",IF(M816="tout alignement non bon", """4_LN"", ""5_NN"", ""6_CN"", ""7_LM"", ""8_NM"", ""9_CM""",IF(M816="tout alignement mauvais", """7_LM"", ""8_NM"", ""9_CM""",IF(M816="tout alignement chaotique", """3_CB"", ""6_CN"", ""9_CM""",IF(M816="tout alignement non loyal", """2_NB"", ""3_CB"", ""5_NN"", ""6_CN"", ""8_NM"", ""9_CM""",""""&amp;VLOOKUP(M816,Alignements!$A$2:$B$10,2, FALSE)&amp;""""))))))</f>
        <v>"5_NN"</v>
      </c>
      <c r="O816" s="297"/>
      <c r="P816" t="str">
        <f t="shared" si="38"/>
        <v>"Zaratan": {
  "Name" : "Zaratan",
  "VO" : "Zaratan",
  "Family" : "ELEMENTARY",
  "Species" : [""],
  "FP" : "22", 
  "Size" : "Gig",
  "AC" : 21,
  "HP" : 307, 
  "Speed" : "nage",
  "Alignments" : ["5_NN"],
  "Legendary" : ""}</v>
      </c>
    </row>
    <row r="817" spans="1:16">
      <c r="A817" s="61" t="s">
        <v>5612</v>
      </c>
      <c r="B817" s="298" t="s">
        <v>5612</v>
      </c>
      <c r="C817" s="306">
        <v>26</v>
      </c>
      <c r="D817" s="298" t="s">
        <v>4096</v>
      </c>
      <c r="E817" s="297" t="str">
        <f t="shared" si="36"/>
        <v>Fiélon</v>
      </c>
      <c r="F817" s="297" t="str">
        <f>VLOOKUP(E817,'Types de monstres'!$A$2:$B$17,2,FALSE)</f>
        <v>FIEND</v>
      </c>
      <c r="G817" s="297" t="str">
        <f t="shared" si="37"/>
        <v>diable</v>
      </c>
      <c r="H817" s="297" t="str">
        <f>IF(OR(G817="",G817="toute race"),"",VLOOKUP(G817,'Types de monstres'!$F$2:$G$49,2,FALSE))</f>
        <v>DEVIL</v>
      </c>
      <c r="I817" s="298" t="s">
        <v>4112</v>
      </c>
      <c r="J817" s="300">
        <v>21</v>
      </c>
      <c r="K817" s="300">
        <v>580</v>
      </c>
      <c r="L817" s="298" t="s">
        <v>4092</v>
      </c>
      <c r="M817" s="298" t="s">
        <v>4097</v>
      </c>
      <c r="N817" s="297" t="str">
        <f>IF(M817="sans alignement","",IF(M817="tout alignement", """1_LB"", ""2_NB"", ""3_CB"", ""4_LN"", ""5_NN"", ""6_CN"", ""7_LM"", ""8_NM"", ""9_CM""",IF(M817="tout alignement non bon", """4_LN"", ""5_NN"", ""6_CN"", ""7_LM"", ""8_NM"", ""9_CM""",IF(M817="tout alignement mauvais", """7_LM"", ""8_NM"", ""9_CM""",IF(M817="tout alignement chaotique", """3_CB"", ""6_CN"", ""9_CM""",IF(M817="tout alignement non loyal", """2_NB"", ""3_CB"", ""5_NN"", ""6_CN"", ""8_NM"", ""9_CM""",""""&amp;VLOOKUP(M817,Alignements!$A$2:$B$10,2, FALSE)&amp;""""))))))</f>
        <v>"7_LM"</v>
      </c>
      <c r="O817" s="298" t="s">
        <v>4114</v>
      </c>
      <c r="P817" t="str">
        <f t="shared" si="38"/>
        <v>"Zariel": {
  "Name" : "Zariel",
  "VO" : "Zariel",
  "Family" : "FIEND",
  "Species" : ["DEVIL"],
  "FP" : "26", 
  "Size" : "G",
  "AC" : 21,
  "HP" : 580, 
  "Speed" : "vol",
  "Alignments" : ["7_LM"],
  "Legendary" : "Légendaire"}</v>
      </c>
    </row>
    <row r="818" spans="1:16">
      <c r="A818" s="61" t="s">
        <v>5613</v>
      </c>
      <c r="B818" s="297" t="s">
        <v>5614</v>
      </c>
      <c r="C818" s="305" t="s">
        <v>5618</v>
      </c>
      <c r="D818" s="297" t="s">
        <v>4117</v>
      </c>
      <c r="E818" s="297" t="str">
        <f t="shared" si="36"/>
        <v>Mort-vivant</v>
      </c>
      <c r="F818" s="297" t="str">
        <f>VLOOKUP(E818,'Types de monstres'!$A$2:$B$17,2,FALSE)</f>
        <v>UNDEAD</v>
      </c>
      <c r="G818" s="297" t="str">
        <f t="shared" si="37"/>
        <v/>
      </c>
      <c r="H818" s="297" t="str">
        <f>IF(OR(G818="",G818="toute race"),"",VLOOKUP(G818,'Types de monstres'!$F$2:$G$49,2,FALSE))</f>
        <v/>
      </c>
      <c r="I818" s="297" t="s">
        <v>4091</v>
      </c>
      <c r="J818" s="302">
        <v>8</v>
      </c>
      <c r="K818" s="302">
        <v>22</v>
      </c>
      <c r="L818" s="297"/>
      <c r="M818" s="297" t="s">
        <v>4118</v>
      </c>
      <c r="N818" s="297" t="str">
        <f>IF(M818="sans alignement","",IF(M818="tout alignement", """1_LB"", ""2_NB"", ""3_CB"", ""4_LN"", ""5_NN"", ""6_CN"", ""7_LM"", ""8_NM"", ""9_CM""",IF(M818="tout alignement non bon", """4_LN"", ""5_NN"", ""6_CN"", ""7_LM"", ""8_NM"", ""9_CM""",IF(M818="tout alignement mauvais", """7_LM"", ""8_NM"", ""9_CM""",IF(M818="tout alignement chaotique", """3_CB"", ""6_CN"", ""9_CM""",IF(M818="tout alignement non loyal", """2_NB"", ""3_CB"", ""5_NN"", ""6_CN"", ""8_NM"", ""9_CM""",""""&amp;VLOOKUP(M818,Alignements!$A$2:$B$10,2, FALSE)&amp;""""))))))</f>
        <v>"8_NM"</v>
      </c>
      <c r="O818" s="297"/>
      <c r="P818" t="str">
        <f t="shared" si="38"/>
        <v>"Zombi": {
  "Name" : "Zombi",
  "VO" : "Zombie",
  "Family" : "UNDEAD",
  "Species" : [""],
  "FP" : "1/4", 
  "Size" : "M",
  "AC" : 8,
  "HP" : 22, 
  "Speed" : "",
  "Alignments" : ["8_NM"],
  "Legendary" : ""}</v>
      </c>
    </row>
    <row r="819" spans="1:16">
      <c r="A819" s="299" t="s">
        <v>5615</v>
      </c>
      <c r="B819" s="298" t="s">
        <v>5616</v>
      </c>
      <c r="C819" s="306">
        <v>1</v>
      </c>
      <c r="D819" s="298" t="s">
        <v>4117</v>
      </c>
      <c r="E819" s="297" t="str">
        <f t="shared" si="36"/>
        <v>Mort-vivant</v>
      </c>
      <c r="F819" s="297" t="str">
        <f>VLOOKUP(E819,'Types de monstres'!$A$2:$B$17,2,FALSE)</f>
        <v>UNDEAD</v>
      </c>
      <c r="G819" s="297" t="str">
        <f t="shared" si="37"/>
        <v/>
      </c>
      <c r="H819" s="297" t="str">
        <f>IF(OR(G819="",G819="toute race"),"",VLOOKUP(G819,'Types de monstres'!$F$2:$G$49,2,FALSE))</f>
        <v/>
      </c>
      <c r="I819" s="298" t="s">
        <v>4091</v>
      </c>
      <c r="J819" s="300">
        <v>10</v>
      </c>
      <c r="K819" s="300">
        <v>37</v>
      </c>
      <c r="L819" s="298"/>
      <c r="M819" s="298" t="s">
        <v>4118</v>
      </c>
      <c r="N819" s="297" t="str">
        <f>IF(M819="sans alignement","",IF(M819="tout alignement", """1_LB"", ""2_NB"", ""3_CB"", ""4_LN"", ""5_NN"", ""6_CN"", ""7_LM"", ""8_NM"", ""9_CM""",IF(M819="tout alignement non bon", """4_LN"", ""5_NN"", ""6_CN"", ""7_LM"", ""8_NM"", ""9_CM""",IF(M819="tout alignement mauvais", """7_LM"", ""8_NM"", ""9_CM""",IF(M819="tout alignement chaotique", """3_CB"", ""6_CN"", ""9_CM""",IF(M819="tout alignement non loyal", """2_NB"", ""3_CB"", ""5_NN"", ""6_CN"", ""8_NM"", ""9_CM""",""""&amp;VLOOKUP(M819,Alignements!$A$2:$B$10,2, FALSE)&amp;""""))))))</f>
        <v>"8_NM"</v>
      </c>
      <c r="O819" s="298"/>
      <c r="P819" t="str">
        <f t="shared" si="38"/>
        <v>"Zombi desséché": {
  "Name" : "Zombi desséché",
  "VO" : "Husk Zombie",
  "Family" : "UNDEAD",
  "Species" : [""],
  "FP" : "1", 
  "Size" : "M",
  "AC" : 10,
  "HP" : 37, 
  "Speed" : "",
  "Alignments" : ["8_NM"],
  "Legendary" : ""}</v>
      </c>
    </row>
    <row r="820" spans="1:16">
      <c r="A820" s="301" t="s">
        <v>5617</v>
      </c>
      <c r="B820" s="297" t="s">
        <v>5617</v>
      </c>
      <c r="C820" s="305">
        <v>23</v>
      </c>
      <c r="D820" s="297" t="s">
        <v>4136</v>
      </c>
      <c r="E820" s="297" t="str">
        <f t="shared" si="36"/>
        <v>Fiélon</v>
      </c>
      <c r="F820" s="297" t="str">
        <f>VLOOKUP(E820,'Types de monstres'!$A$2:$B$17,2,FALSE)</f>
        <v>FIEND</v>
      </c>
      <c r="G820" s="297" t="str">
        <f t="shared" si="37"/>
        <v>démon</v>
      </c>
      <c r="H820" s="297" t="str">
        <f>IF(OR(G820="",G820="toute race"),"",VLOOKUP(G820,'Types de monstres'!$F$2:$G$49,2,FALSE))</f>
        <v>DAEMON</v>
      </c>
      <c r="I820" s="297" t="s">
        <v>4112</v>
      </c>
      <c r="J820" s="302">
        <v>18</v>
      </c>
      <c r="K820" s="302">
        <v>304</v>
      </c>
      <c r="L820" s="297"/>
      <c r="M820" s="297" t="s">
        <v>2565</v>
      </c>
      <c r="N820" s="297" t="str">
        <f>IF(M820="sans alignement","",IF(M820="tout alignement", """1_LB"", ""2_NB"", ""3_CB"", ""4_LN"", ""5_NN"", ""6_CN"", ""7_LM"", ""8_NM"", ""9_CM""",IF(M820="tout alignement non bon", """4_LN"", ""5_NN"", ""6_CN"", ""7_LM"", ""8_NM"", ""9_CM""",IF(M820="tout alignement mauvais", """7_LM"", ""8_NM"", ""9_CM""",IF(M820="tout alignement chaotique", """3_CB"", ""6_CN"", ""9_CM""",IF(M820="tout alignement non loyal", """2_NB"", ""3_CB"", ""5_NN"", ""6_CN"", ""8_NM"", ""9_CM""",""""&amp;VLOOKUP(M820,Alignements!$A$2:$B$10,2, FALSE)&amp;""""))))))</f>
        <v>"9_CM"</v>
      </c>
      <c r="O820" s="296"/>
      <c r="P820" t="str">
        <f t="shared" si="38"/>
        <v>"Zuggtmoy": {
  "Name" : "Zuggtmoy",
  "VO" : "Zuggtmoy",
  "Family" : "FIEND",
  "Species" : ["DAEMON"],
  "FP" : "23", 
  "Size" : "G",
  "AC" : 18,
  "HP" : 304, 
  "Speed" : "",
  "Alignments" : ["9_CM"],
  "Legendary" : ""}</v>
      </c>
    </row>
    <row r="821" spans="1:16">
      <c r="N821" s="297"/>
    </row>
    <row r="822" spans="1:16">
      <c r="N822" s="297"/>
      <c r="P822" t="str">
        <f>CONCATENATE(P823,P824,P825,P826,P827,P828,P829,P830,P831)</f>
        <v>"Aarakocra":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 : "Iron Consul</v>
      </c>
    </row>
    <row r="823" spans="1:16">
      <c r="N823" s="297"/>
      <c r="P823" t="str">
        <f>CONCATENATE(P2,",
",P3,",
",P4,",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f>
        <v>"Aarakocra":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v>
      </c>
    </row>
    <row r="824" spans="1:16">
      <c r="N824" s="297"/>
      <c r="P824" t="str">
        <f>CONCATENATE(,",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f>
        <v>,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 : "Iron Consul",
  "Family" : "HUMANOID",
  "Species" : ["HUMAN"],
  "FP" : "2", 
  "Size" : "M",
  "AC" : 16,
  "HP" : 45, 
  "Speed" : "",
  "Alignments" : ["7_LM"],
  "Legendary" : ""},
"Corbeau": {
  "Name" : "Corbeau",
  "VO" : "Raven",
  "Family" : "BEAST",
  "Species" : [""],
  "FP" : "0", 
  "Size" : "TP",
  "AC" : 12,
  "HP" : 1, 
  "Speed" : "vol",
  "Alignments" : [],
  "Legendary" : ""},
"Corbeau-garou": {
  "Name" : "Corbeau-garou",
  "VO" : "Wereraven",
  "Family" : "HUMANOID",
  "Species" : ["HUMAN", "METAMORPH"],
  "FP" : "2", 
  "Size" : "M",
  "AC" : 12,
  "HP" : 31, 
  "Speed" : "vol",
  "Alignments" : ["1_LB"],
  "Legendary" : ""},
"Couatl": {
  "Name" : "Couatl",
  "VO" : "Couatl",
  "Family" : "CELESTIAL",
  "Species" : [""],
  "FP" : "4", 
  "Size" : "M",
  "AC" : 19,
  "HP" : 97, 
  "Speed" : "vol",
  "Alignments" : ["1_LB"],
  "Legendary" : ""},
"Courseur": {
  "Name" : "Courseur",
  "VO" : "Fastieth",
  "Family" : "BEAST",
  "Species" : [""],
  "FP" : "1/4", 
  "Size" : "M",
  "AC" : 14,
  "HP" : 9, 
  "Speed" : "",
  "Alignments" : [],
  "Legendary" : ""},
"Crabe": {
  "Name" : "Crabe",
  "VO" : "Crab",
  "Family" : "BEAST",
  "Species" : [""],
  "FP" : "0", 
  "Size" : "TP",
  "AC" : 11,
  "HP" : 2, 
  "Speed" : "nage",
  "Alignments" : [],
  "Legendary" : ""},
"Crabe géant": {
  "Name" : "Crabe géant",
  "VO" : "Giant Crab",
  "Family" : "BEAST",
  "Species" : [""],
  "FP" : "1/8", 
  "Size" : "M",
  "AC" : 15,
  "HP" : 13, 
  "Speed" : "nage",
  "Alignments" : [],
  "Legendary" : ""},
"Crabe-pêcheur": {
  "Name" : "Crabe-pêcheur",
  "VO" : "Cave Fisher",
  "Family" : "MONSTROUS_CREATURE",
  "Species" : [""],
  "FP" : "3", 
  "Size" : "M",
  "AC" : 16,
  "HP" : 58, 
  "Speed" : "",
  "Alignments" : [],
  "Legendary" : ""},
"Crânefeu": {
  "Name" : "Crânefeu",
  "VO" : "Flameskull",
  "Family" : "UNDEAD",
  "Species" : [""],
  "FP" : "4", 
  "Size" : "TP",
  "AC" : 13,
  "HP" : 40, 
  "Speed" : "vol",
  "Alignments" : ["8_NM"],
  "Legendary" : ""},
"Crapaud géant": {
  "Name" : "Crapaud géant",
  "VO" : "Giant Toad",
  "Family" : "BEAST",
  "Species" : [""],
  "FP" : "1", 
  "Size" : "G",
  "AC" : 11,
  "HP" : 39, 
  "Speed" : "nage",
  "Alignments" : [],
  "Legendary" : ""},
"Criard": {
  "Name" : "Criard",
  "VO" : "Shrieker",
  "Family" : "PLANT",
  "Species" : [""],
  "FP" : "0", 
  "Size" : "M",
  "AC" : 5,
  "HP" : 13, 
  "Speed" : "",
  "Alignments" : [],
  "Legendary" : ""},
"Crocodile": {
  "Name" : "Crocodile",
  "VO" : "Crocodile",
  "Family" : "BEAST",
  "Species" : [""],
  "FP" : "1/2", 
  "Size" : "G",
  "AC" : 12,
  "HP" : 19, 
  "Speed" : "nage",
  "Alignments" : [],
  "Legendary" : ""},
"Crocodile géant": {
  "Name" : "Crocodile géant",
  "VO" : "Giant Crocodile",
  "Family" : "BEAST",
  "Species" : [""],
  "FP" : "5", 
  "Size" : "TG",
  "AC" : 14,
  "HP" : 85, 
  "Speed" : "nage",
  "Alignments" : [],
  "Legendary" : ""},
"Crokek'toeck": {
  "Name" : "Crokek'toeck",
  "VO" : "Crokek'toeck",
  "Family" : "FIEND",
  "Species" : ["DAEMON"],
  "FP" : "14", 
  "Size" : "Gig",
  "AC" : 15,
  "HP" : 297, 
  "Speed" : "nage",
  "Alignments" : ["9_CM"],
  "Legendary" : ""},
"Croque-mitaine": {
  "Name" : "Croque-mitaine",
  "VO" : "Boggle",
  "Family" : "FAIRY",
  "Species" : [""],
  "FP" : "1/8", 
  "Size" : "P",
  "AC" : 14,
  "HP" : 18, 
  "Speed" : "",
  "Alignments" : ["6_CN"],
  "Legendary" : ""},
"Cube gélatineux": {
  "Name" : "Cube gélatineux",
  "VO" : "Gelatinous Cube",
  "Family" : "MUD",
  "Species" : [""],
  "FP" : "2", 
  "Size" : "G",
  "AC" : 6,
  "HP" : 84, 
  "Speed" : "",
  "Alignments" : [],
  "Legendary" : ""},
"Cuirassier astral": {
  "Name" : "Cuirassier astral",
  "VO" : "Astral Dreadnought",
  "Family" : "MONSTROUS_CREATURE",
  "Species" : ["TITAN"],
  "FP" : "21", 
  "Size" : "Gig",
  "AC" : 20,
  "HP" : 297, 
  "Speed" : "vol",
  "Alignments" : [],
  "Legendary" : "Légendaire"},
"Cultiste": {
  "Name" : "Cultiste",
  "VO" : "Cultist",
  "Family" : "HUMANOID",
  "Species" : [""],
  "FP" : "1/8", 
  "Size" : "M",
  "AC" : 12,
  "HP" : 9, 
  "Speed" : "",
  "Alignments" : ["4_LN", "5_NN", "6_CN", "7_LM", "8_NM", "9_CM"],
  "Legendary" : ""},
"Cyclope": {
  "Name" : "Cyclope",
  "VO" : "Cyclops",
  "Family" : "GIANT",
  "Species" : [""],
  "FP" : "6", 
  "Size" : "TG",
  "AC" : 14,
  "HP" : 138, 
  "Speed" : "",
  "Alignments" : ["6_CN"],
  "Legendary" : ""},
"Dame Malmoelle": {
  "Name" : "Dame Malmoelle",
  "VO" : "Lady Illmarrow",
  "Family" : "HUMANOID",
  "Species" : ["WARFORGED"],
  "FP" : "18", 
  "Size" : "M",
  "AC" : 19,
  "HP" : 195, 
  "Speed" : "",
  "Alignments" : ["7_LM"],
  "Legendary" : ""},
"Dao": {
  "Name" : "Dao",
  "VO" : "Dao",
  "Family" : "ELEMENTARY",
  "Species" : [""],
  "FP" : "11", 
  "Size" : "G",
  "AC" : 18,
  "HP" : 187, 
  "Speed" : "vol",
  "Alignments" : ["8_NM"],
  "Legendary" : ""},
"Dauphin": {
  "Name" : "Dauphin",
  "VO" : "Dolphin",
  "Family" : "BEAST",
  "Species" : [""],
  "FP" : "1/8", 
  "Size" : "M",
  "AC" : 12,
  "HP" : 11, 
  "Speed" : "nage",
  "Alignments" : [],
  "Legendary" : ""},
"Demi-dragon rouge, vétéran": {
  "Name" : "Demi-dragon rouge, vétéran",
  "VO" : "Half-Red Dragon Veteran",
  "Family" : "HUMANOID",
  "Species" : ["HUMAN"],
  "FP" : "5", 
  "Size" : "M",
  "AC" : 18,
  "HP" : 65, 
  "Speed" : "",
  "Alignments" : ["1_LB", "2_NB", "3_CB", "4_LN", "5_NN", "6_CN", "7_LM", "8_NM", "9_CM"],
  "Legendary" : ""},
"Demi-liche": {
  "Name" : "Demi-liche",
  "VO" : "Demilich",
  "Family" : "UNDEAD",
  "Species" : [""],
  "FP" : "18", 
  "Size" : "TP",
  "AC" : 20,
  "HP" : 80, 
  "Speed" : "vol",
  "Alignments" : ["8_NM"],
  "Legendary" : "Légendaire"},
"Demi-ogre": {
  "Name" : "Demi-ogre",
  "VO" : "Half-Ogre",
  "Family" : "GIANT",
  "Species" : [""],
  "FP" : "1", 
  "Size" : "G",
  "AC" : 12,
  "HP" : 30, 
  "Speed" : "",
  "Alignments" : ["3_CB", "6_CN", "9_CM"],
  "Legendary" : ""},
"Démogorgon": {
  "Name" : "Démogorgon",
  "VO" : "Demogorgon",
  "Family" : "FIEND",
  "Species" : ["DAEMON"],
  "FP" : "26", 
  "Size" : "TG",
  "AC" : 22,
  "HP" : 406, 
  "Speed" : "nage",
  "Alignments" : ["9_CM"],
  "Legendary" : ""},
"Démon des ombres": {
  "Name" : "Démon des ombres",
  "VO" : "Shadow Demon",
  "Family" : "FIEND",
  "Species" : ["DAEMON"],
  "FP" : "4", 
  "Size" : "M",
  "AC" : 13,
  "HP" : 66, 
  "Speed" : "vol",
  "Alignments" : ["9_CM"],
  "Legendary" : ""},
"Démon glouton": {
  "Name" : "Démon glouton",
  "VO" : "Maw Demon",
  "Family" : "FIEND",
  "Species" : ["DAEMON"],
  "FP" : "1", 
  "Size" : "M",
  "AC" : 13,
  "HP" : 33, 
  "Speed" : "",
  "Alignments" : ["9_CM"],
  "Legendary" : ""},
"Derro": {
  "Name" : "Derro",
  "VO" : "Derro",
  "Family" : "HUMANOID",
  "Species" : ["DERRO"],
  "FP" : "1/4", 
  "Size" : "P",
  "AC" : 13,
  "HP" : 13, 
  "Speed" : "",
  "Alignments" : ["9_CM"],
  "Legendary" : ""},
"Derro, savant": {
  "Name" : "Derro, savant",
  "VO" : "Derro Savant",
  "Family" : "HUMANOID",
  "Species" : ["DERRO"],
  "FP" : "3", 
  "Size" : "P",
  "AC" : 13,
  "HP" : 36, 
  "Speed" : "",
  "Alignments" : ["9_CM"],
  "Legendary" : ""},
"Deslor": {
  "Name" : "Deslor",
  "VO" : "Deslor",
  "Family" : "HUMANOID",
  "Species" : ["HUMAN"],
  "FP" : "6", 
  "Size" : "M",
  "AC" : 12,
  "HP" : 49, 
  "Speed" : "",
  "Alignments" : ["5_NN"],
  "Legendary" : ""},
"Destrier noir": {
  "Name" : "Destrier noir",
  "VO" : "Nightmare",
  "Family" : "FIEND",
  "Species" : [""],
  "FP" : "3", 
  "Size" : "G",
  "AC" : 13,
  "HP" : 68, 
  "Speed" : "vol",
  "Alignments" : ["8_NM"],
  "Legendary" : ""},
"Déva": {
  "Name" : "Déva",
  "VO" : "Deva",
  "Family" : "CELESTIAL",
  "Species" : [""],
  "FP" : "10", 
  "Size" : "M",
  "AC" : 17,
  "HP" : 136, 
  "Speed" : "vol",
  "Alignments" : ["1_LB"],
  "Legendary" : ""},
"Devin": {
  "Name" : "Devin",
  "VO" : "Diviner",
  "Family" : "HUMANOID",
  "Species" : [""],
  "FP" : "8", 
  "Size" : "M",
  "AC" : 12,
  "HP" : 67, 
  "Speed" : "",
  "Alignments" : ["1_LB", "2_NB", "3_CB", "4_LN", "5_NN", "6_CN", "7_LM", "8_NM", "9_CM"],
  "Legendary" : ""},
"Dévoreur d'âme": {
  "Name" : "Dévoreur d'âme",
  "VO" : "Devourer",
  "Family" : "FIEND",
  "Species" : [""],
  "FP" : "13", 
  "Size" : "G",
  "AC" : 16,
  "HP" : 178, 
  "Speed" : "",
  "Alignments" : ["9_CM"],
  "Legendary" : ""},
"Dévoreur d'intellect": {
  "Name" : "Dévoreur d'intellect",
  "VO" : "Intellect Devourer",
  "Family" : "ABERRATION",
  "Species" : [""],
  "FP" : "2", 
  "Size" : "TP",
  "AC" : 12,
  "HP" : 21, 
  "Speed" : "",
  "Alignments" : ["7_LM"],
  "Legendary" : ""},
"Dhergoloth": {
  "Name" : "Dhergoloth",
  "VO" : "Dhergoloth",
  "Family" : "FIEND",
  "Species" : ["YUGOLOTH"],
  "FP" : "7", 
  "Size" : "M",
  "AC" : 15,
  "HP" : 119, 
  "Speed" : "",
  "Alignments" : ["8_NM"],
  "Legendary" : ""},
"Diable à chaînes": {
  "Name" : "Diable à chaînes",
  "VO" : "Chain Devil",
  "Family" : "FIEND",
  "Species" : ["DEVIL"],
  "FP" : "8", 
  "Size" : "M",
  "AC" : 16,
  "HP" : 85, 
  "Speed" : "",
  "Alignments" : ["7_LM"],
  "Legendary" : ""},
"Diable barbelé": {
  "Name" : "Diable barbelé",
  "VO" : "Barbed Devil",
  "Family" : "FIEND",
  "Species" : ["DEVIL"],
  "FP" : "5", 
  "Size" : "M",
  "AC" : 15,
  "HP" : 110, 
  "Speed" : "",
  "Alignments" : ["7_LM"],
  "Legendary" : ""},
"Diable barbu": {
  "Name" : "Diable barbu",
  "VO" : "Bearded Devil",
  "Family" : "FIEND",
  "Species" : ["DEVIL"],
  "FP" : "3", 
  "Size" : "M",
  "AC" : 13,
  "HP" : 52, 
  "Speed" : "",
  "Alignments" : ["7_LM"],
  "Legendary" : ""},
"Diable cornu": {
  "Name" : "Diable cornu",
  "VO" : "Horned Devil",
  "Family" : "FIEND",
  "Species" : ["DEVIL"],
  "FP" : "11", 
  "Size" : "G",
  "AC" : 18,
  "HP" : 178, 
  "Speed" : "vol",
  "Alignments" : ["7_LM"],
  "Legendary" : ""},
"Diable épineux": {
  "Name" : "Diable épineux",
  "VO" : "Spined Devil",
  "Family" : "FIEND",
  "Species" : ["DEVIL"],
  "FP" : "2", 
  "Size" : "P",
  "AC" : 13,
  "HP" : 22, 
  "Speed" : "vol",
  "Alignments" : ["7_LM"],
  "Legendary" : ""},
"Diable gelé": {
  "Name" : "Diable gelé",
  "VO" : "Ice Devil",
  "Family" : "FIEND",
  "Species" : ["DEVIL"],
  "FP" : "14", 
  "Size" : "G",
  "AC" : 18,
  "HP" : 180, 
  "Speed" : "",
  "Alignments" : ["7_LM"],
  "Legendary" : ""},
"Diable osseux": {
  "Name" : "Diable osseux",
  "VO" : "Bone Devil",
  "Family" : "FIEND",
  "Species" : ["DEVIL"],
  "FP" : "9", 
  "Size" : "G",
  "AC" : 19,
  "HP" : 142, 
  "Speed" : "vol",
  "Alignments" : ["7_LM"],
  "Legendary" : ""},
"Diablotin": {
  "Name" : "Diablotin",
  "VO" : "Imp",
  "Family" : "FIEND",
  "Species" : ["DEVIL", "METAMORPH"],
  "FP" : "1", 
  "Size" : "TP",
  "AC" : 13,
  "HP" : 10, 
  "Speed" : "vol",
  "Alignments" : ["7_LM"],
  "Legendary" : ""},
"Diantrefosse": {
  "Name" : "Diantrefosse",
  "VO" : "Pit Fiend",
  "Family" : "FIEND",
  "Species" : ["DEVIL"],
  "FP" : "20", 
  "Size" : "G",
  "AC" : 19,
  "HP" : 300, 
  "Speed" : "vol",
  "Alignments" : ["7_LM"],
  "Legendary" : ""},
"Djinn": {
  "Name" : "Djinn",
  "VO" : "Djinni",
  "Family" : "ELEMENTARY",
  "Species" : [""],
  "FP" : "11", 
  "Size" : "G",
  "AC" : 17,
  "HP" : 161, 
  "Speed" : "vol",
  "Alignments" : ["3_CB"],
  "Legendary" : ""},
"Dolgonte": {
  "Name" : "Dolgonte",
  "VO" : "Dolgaunt",
  "Family" : "ABERRATION",
  "Species" : [""],
  "FP" : "3", 
  "Size" : "M",
  "AC" : 16,
  "HP" : 33, 
  "Speed" : "",
  "Alignments" : ["7_LM"],
  "Legendary" : ""},
"Dolgrime": {
  "Name" : "Dolgrime",
  "VO" : "Dolgrim",
  "Family" : "ABERRATION",
  "Species" : [""],
  "FP" : "1/2", 
  "Size" : "P",
  "AC" : 15,
  "HP" : 13, 
  "Speed" : "",
  "Alignments" : ["9_CM"],
  "Legendary" : ""},
"Doppelganger": {
  "Name" : "Doppelganger",
  "VO" : "Doppelganger",
  "Family" : "MONSTROUS_CREATURE",
  "Species" : ["METAMORPH"],
  "FP" : "3", 
  "Size" : "M",
  "AC" : 14,
  "HP" : 52, 
  "Speed" : "",
  "Alignments" : ["5_NN"],
  "Legendary" : ""},
"Dracoliche bleue, adulte": {
  "Name" : "Dracoliche bleue, adulte",
  "VO" : "Adult Blue Dracolich",
  "Family" : "UNDEAD",
  "Species" : [""],
  "FP" : "17", 
  "Size" : "TG",
  "AC" : 19,
  "HP" : 225, 
  "Speed" : "vol",
  "Alignments" : ["7_LM"],
  "Legendary" : "Légendaire"},
"Draegloth": {
  "Name" : "Draegloth",
  "VO" : "Draegloth",
  "Family" : "FIEND",
  "Species" : ["DAEMON"],
  "FP" : "7", 
  "Size" : "G",
  "AC" : 15,
  "HP" : 123, 
  "Speed" : "",
  "Alignments" : ["9_CM"],
  "Legendary" : ""},
"Dragon blanc, adulte": {
  "Name" : "Dragon blanc, adulte",
  "VO" : "Adult White Dragon",
  "Family" : "DRAGON",
  "Species" : [""],
  "FP" : "13", 
  "Size" : "TG",
  "AC" : 18,
  "HP" : 200, 
  "Speed" : "vol, nage",
  "Alignments" : ["9_CM"],
  "Legendary" : "Légendaire"},
"Dragon blanc, ancien": {
  "Name" : "Dragon blanc, ancien",
  "VO" : "Ancient White Dragon",
  "Family" : "DRAGON",
  "Species" : [""],
  "FP" : "20", 
  "Size" : "Gig",
  "AC" : 20,
  "HP" : 333, 
  "Speed" : "vol, nage",
  "Alignments" : ["9_CM"],
  "Legendary" : "Légendaire"},
"Dragon blanc, jeune": {
  "Name" : "Dragon blanc, jeune",
  "VO" : "Young White Dragon",
  "Family" : "DRAGON",
  "Species" : [""],
  "FP" : "6", 
  "Size" : "G",
  "AC" : 17,
  "HP" : 133, 
  "Speed" : "vol, nage",
  "Alignments" : ["9_CM"],
  "Legendary" : ""},
"Dragon blanc, nouveau-né": {
  "Name" : "Dragon blanc, nouveau-né",
  "VO" : "White Dragon Wyrmling",
  "Family" : "DRAGON",
  "Species" : [""],
  "FP" : "2", 
  "Size" : "M",
  "AC" : 16,
  "HP" : 32, 
  "Speed" : "vol, nage",
  "Alignments" : ["9_CM"],
  "Legendary" : ""},
"Dragon bleu, adulte": {
  "Name" : "Dragon bleu, adulte",
  "VO" : "Adult Blue Dragon",
  "Family" : "DRAGON",
  "Species" : [""],
  "FP" : "16", 
  "Size" : "TG",
  "AC" : 19,
  "HP" : 225, 
  "Speed" : "vol",
  "Alignments" : ["7_LM"],
  "Legendary" : "Légendaire"},
"Dragon bleu, ancien": {
  "Name" : "Dragon bleu, ancien",
  "VO" : "Ancient Blue Dragon",
  "Family" : "DRAGON",
  "Species" : [""],
  "FP" : "23", 
  "Size" : "Gig",
  "AC" : 22,
  "HP" : 481, 
  "Speed" : "vol",
  "Alignments" : ["7_LM"],
  "Legendary" : "Légendaire"},
"Dragon bleu, jeune": {
  "Name" : "Dragon bleu, jeune",
  "VO" : "Young Blue Dragon",
  "Family" : "DRAGON",
  "Species" : [""],
  "FP" : "9", 
  "Size" : "G",
  "AC" : 18,
  "HP" : 152, 
  "Speed" : "vol",
  "Alignments" : ["7_LM"],
  "Legendary" : ""},
"Dragon bleu, nouveau-né": {
  "Name" : "Dragon bleu, nouveau-né",
  "VO" : "Blue Dragon Wyrmling",
  "Family" : "DRAGON",
  "Species" : [""],
  "FP" : "3", 
  "Size" : "M",
  "AC" : 17,
  "HP" : 52, 
  "Speed" : "vol",
  "Alignments" : ["7_LM"],
  "Legendary" : ""},
"Dragon d'airain, adulte": {
  "Name" : "Dragon d'airain, adulte",
  "VO" : "Adult Brass Dragon",
  "Family" : "DRAGON",
  "Species" : [""],
  "FP" : "13", 
  "Size" : "TG",
  "AC" : 18,
  "HP" : 172, 
  "Speed" : "vol",
  "Alignments" : ["3_CB"],
  "Legendary" : "Légendaire"},
"Dragon d'airain, ancien": {
  "Name" : "Dragon d'airain, ancien",
  "VO" : "Ancient Brass Dragon",
  "Family" : "DRAGON",
  "Species" : [""],
  "FP" : "20", 
  "Size" : "Gig",
  "AC" : 20,
  "HP" : 297, 
  "Speed" : "vol",
  "Alignments" : ["3_CB"],
  "Legendary" : "Légendaire"},
"Dragon d'airain, jeune": {
  "Name" : "Dragon d'airain, jeune",
  "VO" : "Young Brass Dragon",
  "Family" : "DRAGON",
  "Species" : [""],
  "FP" : "6", 
  "Size" : "G",
  "AC" : 17,
  "HP" : 110, 
  "Speed" : "vol",
  "Alignments" : ["3_CB"],
  "Legendary" : ""},
"Dragon d'airain, nouveau-né": {
  "Name" : "Dragon d'airain, nouveau-né",
  "VO" : "Brass Dragon Wyrmling",
  "Family" : "DRAGON",
  "Species" : [""],
  "FP" : "1", 
  "Size" : "M",
  "AC" : 16,
  "HP" : 16, 
  "Speed" : "vol",
  "Alignments" : ["3_CB"],
  "Legendary" : ""},
"Dragon d'argent, adulte": {
  "Name" : "Dragon d'argent, adulte",
  "VO" : "Adult Silver Dragon",
  "Family" : "DRAGON",
  "Species" : [""],
  "FP" : "16", 
  "Size" : "TG",
  "AC" : 19,
  "HP" : 243, 
  "Speed" : "vol",
  "Alignments" : ["1_LB"],
  "Legendary" : "Légendaire"},
"Dragon d'argent, ancien": {
  "Name" : "Dragon d'argent, ancien",
  "VO" : "Ancient Silver Dragon",
  "Family" : "DRAGON",
  "Species" : [""],
  "FP" : "23", 
  "Size" : "Gig",
  "AC" : 22,
  "HP" : 487, 
  "Speed" : "vol",
  "Alignments" : ["1_LB"],
  "Legendary" : "Légendaire"}</v>
      </c>
    </row>
    <row r="825" spans="1:16">
      <c r="N825" s="297"/>
      <c r="P825" t="str">
        <f>CONCATENATE(",
",P201,",
",P202,",
",P203,",
",P204,",
",P205,",
",P206,",
",P207,",
",P208,",
",P209,",
",P210,",
",P211,",
",P212,",
",P213,",
",P214,",
",P215,",
",P216,",
",P217,",
",P218,",
",P219,",
",P220,",
",P221,",
",P222,",
",P223,",
",P224,",
",P225,",
",P226,",
",P227,",
",P228,",
",P229,",
",P230,",
",P231,",
",P232,",
",P233,",
",P234,",
",P235,",
",P236,",
",P237,",
",P238,",
",P239,",
",P240,",
",P241,",
",P242,",
",P243,",
",P244,",
",P245,",
",P246,",
",P247,",
",P248,",
",P249,",
",P250,",
",P251,",
",P252,",
",P253,",
",P254,",
",P255,",
",P256,",
",P257,",
",P258,",
",P259,",
",P260,",
",P261,",
",P262,",
",P263,",
",P264,",
",P265,",
",P266,",
",P267,",
",P268,",
",P269,",
",P270,",
",P271,",
",P272,",
",P273,",
",P274,",
",P275,",
",P276,",
",P277,",
",P278,",
",P279,",
",P280,",
",P281,",
",P282,",
",P283,",
",P284,",
",P285,",
",P286,",
",P287,",
",P288,",
",P289,",
",P290,",
",P291,",
",P292,",
",P293,",
",P294,",
",P295,",
",P296,",
",P297,",
",P298,",
",P299,",
",P300)</f>
        <v>,
"Dragon d'argent, jeune": {
  "Name" : "Dragon d'argent, jeune",
  "VO" : "Young Silver Dragon",
  "Family" : "DRAGON",
  "Species" : [""],
  "FP" : "9", 
  "Size" : "G",
  "AC" : 18,
  "HP" : 168, 
  "Speed" : "vol",
  "Alignments" : ["1_LB"],
  "Legendary" : ""},
"Dragon d'argent, nouveau-né": {
  "Name" : "Dragon d'argent, nouveau-né",
  "VO" : "Silver Dragon Wyrmling",
  "Family" : "DRAGON",
  "Species" : [""],
  "FP" : "2", 
  "Size" : "M",
  "AC" : 17,
  "HP" : 45, 
  "Speed" : "vol",
  "Alignments" : ["1_LB"],
  "Legendary" : ""},
"Dragon d'ombre rouge, jeune": {
  "Name" : "Dragon d'ombre rouge, jeune",
  "VO" : "Young Red Shadow Dragon",
  "Family" : "DRAGON",
  "Species" : [""],
  "FP" : "13", 
  "Size" : "G",
  "AC" : 18,
  "HP" : 178, 
  "Speed" : "vol",
  "Alignments" : ["9_CM"],
  "Legendary" : ""},
"Dragon d'or, adulte": {
  "Name" : "Dragon d'or, adulte",
  "VO" : "Adult Gold Dragon",
  "Family" : "DRAGON",
  "Species" : [""],
  "FP" : "17", 
  "Size" : "TG",
  "AC" : 19,
  "HP" : 256, 
  "Speed" : "vol, nage",
  "Alignments" : ["1_LB"],
  "Legendary" : "Légendaire"},
"Dragon d'or, ancien": {
  "Name" : "Dragon d'or, ancien",
  "VO" : "Ancient Gold Dragon",
  "Family" : "DRAGON",
  "Species" : [""],
  "FP" : "24", 
  "Size" : "Gig",
  "AC" : 22,
  "HP" : 546, 
  "Speed" : "vol, nage",
  "Alignments" : ["1_LB"],
  "Legendary" : "Légendaire"},
"Dragon d'or, jeune": {
  "Name" : "Dragon d'or, jeune",
  "VO" : "Young Gold Dragon",
  "Family" : "DRAGON",
  "Species" : [""],
  "FP" : "10", 
  "Size" : "G",
  "AC" : 18,
  "HP" : 178, 
  "Speed" : "vol, nage",
  "Alignments" : ["1_LB"],
  "Legendary" : ""},
"Dragon d'or, nouveau-né": {
  "Name" : "Dragon d'or, nouveau-né",
  "VO" : "Gold Dragon Wyrmling",
  "Family" : "DRAGON",
  "Species" : [""],
  "FP" : "3", 
  "Size" : "M",
  "AC" : 17,
  "HP" : 60, 
  "Speed" : "vol, nage",
  "Alignments" : ["1_LB"],
  "Legendary" : ""},
"Dragon de bronze, adulte": {
  "Name" : "Dragon de bronze, adulte",
  "VO" : "Adult Bronze Dragon",
  "Family" : "DRAGON",
  "Species" : [""],
  "FP" : "15", 
  "Size" : "TG",
  "AC" : 19,
  "HP" : 212, 
  "Speed" : "vol, nage",
  "Alignments" : ["1_LB"],
  "Legendary" : "Légendaire"},
"Dragon de bronze, ancien": {
  "Name" : "Dragon de bronze, ancien",
  "VO" : "Ancient Bronze Dragon",
  "Family" : "DRAGON",
  "Species" : [""],
  "FP" : "22", 
  "Size" : "Gig",
  "AC" : 22,
  "HP" : 444, 
  "Speed" : "vol, nage",
  "Alignments" : ["1_LB"],
  "Legendary" : "Légendaire"},
"Dragon de bronze, jeune": {
  "Name" : "Dragon de bronze, jeune",
  "VO" : "Young Bronze Dragon",
  "Family" : "DRAGON",
  "Species" : [""],
  "FP" : "8", 
  "Size" : "G",
  "AC" : 18,
  "HP" : 142, 
  "Speed" : "vol, nage",
  "Alignments" : ["1_LB"],
  "Legendary" : ""},
"Dragon de bronze, nouveau-né": {
  "Name" : "Dragon de bronze, nouveau-né",
  "VO" : "Bronze Dragon Wyrmling",
  "Family" : "DRAGON",
  "Species" : [""],
  "FP" : "2", 
  "Size" : "M",
  "AC" : 17,
  "HP" : 32, 
  "Speed" : "vol, nage",
  "Alignments" : ["1_LB"],
  "Legendary" : ""},
"Dragon de cuivre, adulte": {
  "Name" : "Dragon de cuivre, adulte",
  "VO" : "Adult Copper Dragon",
  "Family" : "DRAGON",
  "Species" : [""],
  "FP" : "14", 
  "Size" : "TG",
  "AC" : 18,
  "HP" : 184, 
  "Speed" : "vol",
  "Alignments" : ["3_CB"],
  "Legendary" : "Légendaire"},
"Dragon de cuivre, ancien": {
  "Name" : "Dragon de cuivre, ancien",
  "VO" : "Ancient Copper Dragon",
  "Family" : "DRAGON",
  "Species" : [""],
  "FP" : "21", 
  "Size" : "Gig",
  "AC" : 21,
  "HP" : 350, 
  "Speed" : "vol",
  "Alignments" : ["3_CB"],
  "Legendary" : "Légendaire"},
"Dragon de cuivre, jeune": {
  "Name" : "Dragon de cuivre, jeune",
  "VO" : "Young Copper Dragon",
  "Family" : "DRAGON",
  "Species" : [""],
  "FP" : "7", 
  "Size" : "G",
  "AC" : 17,
  "HP" : 119, 
  "Speed" : "vol",
  "Alignments" : ["3_CB"],
  "Legendary" : ""},
"Dragon de cuivre, nouveau-né": {
  "Name" : "Dragon de cuivre, nouveau-né",
  "VO" : "Copper Dragon Wyrmling",
  "Family" : "DRAGON",
  "Species" : [""],
  "FP" : "1", 
  "Size" : "M",
  "AC" : 16,
  "HP" : 22, 
  "Speed" : "vol",
  "Alignments" : ["3_CB"],
  "Legendary" : ""},
"Dragon féerique": {
  "Name" : "Dragon féerique",
  "VO" : "Faerie Dragon",
  "Family" : "DRAGON",
  "Species" : [""],
  "FP" : "1", 
  "Size" : "TP",
  "AC" : 15,
  "HP" : 14, 
  "Speed" : "vol",
  "Alignments" : ["3_CB"],
  "Legendary" : ""},
"Dragon noir, adulte": {
  "Name" : "Dragon noir, adulte",
  "VO" : "Adult Black Dragon",
  "Family" : "DRAGON",
  "Species" : [""],
  "FP" : "14", 
  "Size" : "TG",
  "AC" : 19,
  "HP" : 195, 
  "Speed" : "vol, nage",
  "Alignments" : ["9_CM"],
  "Legendary" : "Légendaire"},
"Dragon noir, ancien": {
  "Name" : "Dragon noir, ancien",
  "VO" : "Ancient Black Dragon",
  "Family" : "DRAGON",
  "Species" : [""],
  "FP" : "21", 
  "Size" : "Gig",
  "AC" : 22,
  "HP" : 367, 
  "Speed" : "vol, nage",
  "Alignments" : ["9_CM"],
  "Legendary" : "Légendaire"},
"Dragon noir, jeune": {
  "Name" : "Dragon noir, jeune",
  "VO" : "Young Black Dragon",
  "Family" : "DRAGON",
  "Species" : [""],
  "FP" : "7", 
  "Size" : "G",
  "AC" : 18,
  "HP" : 127, 
  "Speed" : "vol, nage",
  "Alignments" : ["9_CM"],
  "Legendary" : ""},
"Dragon noir, nouveau-né": {
  "Name" : "Dragon noir, nouveau-né",
  "VO" : "Black Dragon Wyrmling",
  "Family" : "DRAGON",
  "Species" : [""],
  "FP" : "2", 
  "Size" : "M",
  "AC" : 17,
  "HP" : 33, 
  "Speed" : "vol, nage",
  "Alignments" : ["9_CM"],
  "Legendary" : ""},
"Dragon rouge, adulte": {
  "Name" : "Dragon rouge, adulte",
  "VO" : "Adult Red Dragon",
  "Family" : "DRAGON",
  "Species" : [""],
  "FP" : "17", 
  "Size" : "TG",
  "AC" : 19,
  "HP" : 256, 
  "Speed" : "vol",
  "Alignments" : ["9_CM"],
  "Legendary" : "Légendaire"},
"Dragon rouge, ancien": {
  "Name" : "Dragon rouge, ancien",
  "VO" : "Ancient Red Dragon",
  "Family" : "DRAGON",
  "Species" : [""],
  "FP" : "24", 
  "Size" : "Gig",
  "AC" : 22,
  "HP" : 546, 
  "Speed" : "vol",
  "Alignments" : ["9_CM"],
  "Legendary" : "Légendaire"},
"Dragon rouge, jeune": {
  "Name" : "Dragon rouge, jeune",
  "VO" : "Young Red Dragon",
  "Family" : "DRAGON",
  "Species" : [""],
  "FP" : "10", 
  "Size" : "G",
  "AC" : 18,
  "HP" : 178, 
  "Speed" : "vol",
  "Alignments" : ["9_CM"],
  "Legendary" : ""},
"Dragon rouge, nouveau-né": {
  "Name" : "Dragon rouge, nouveau-né",
  "VO" : "Red Dragon Wyrmling",
  "Family" : "DRAGON",
  "Species" : [""],
  "FP" : "4", 
  "Size" : "M",
  "AC" : 17,
  "HP" : 75, 
  "Speed" : "vol",
  "Alignments" : ["9_CM"],
  "Legendary" : ""},
"Dragon vert, adulte": {
  "Name" : "Dragon vert, adulte",
  "VO" : "Adult Green Dragon",
  "Family" : "DRAGON",
  "Species" : [""],
  "FP" : "15", 
  "Size" : "TG",
  "AC" : 19,
  "HP" : 207, 
  "Speed" : "vol, nage",
  "Alignments" : ["7_LM"],
  "Legendary" : "Légendaire"},
"Dragon vert, ancien": {
  "Name" : "Dragon vert, ancien",
  "VO" : "Ancient Green Dragon",
  "Family" : "DRAGON",
  "Species" : [""],
  "FP" : "22", 
  "Size" : "Gig",
  "AC" : 21,
  "HP" : 385, 
  "Speed" : "vol, nage",
  "Alignments" : ["7_LM"],
  "Legendary" : "Légendaire"},
"Dragon vert, jeune": {
  "Name" : "Dragon vert, jeune",
  "VO" : "Young Green Dragon",
  "Family" : "DRAGON",
  "Species" : [""],
  "FP" : "8", 
  "Size" : "G",
  "AC" : 18,
  "HP" : 136, 
  "Speed" : "vol, nage",
  "Alignments" : ["7_LM"],
  "Legendary" : ""},
"Dragon vert, nouveau-né": {
  "Name" : "Dragon vert, nouveau-né",
  "VO" : "Green Dragon Wyrmling",
  "Family" : "DRAGON",
  "Species" : [""],
  "FP" : "2", 
  "Size" : "M",
  "AC" : 17,
  "HP" : 38, 
  "Speed" : "vol, nage",
  "Alignments" : ["7_LM"],
  "Legendary" : ""},
"Dragon-tortue": {
  "Name" : "Dragon-tortue",
  "VO" : "Dragon Turtle",
  "Family" : "DRAGON",
  "Species" : [""],
  "FP" : "17", 
  "Size" : "Gig",
  "AC" : 20,
  "HP" : 341, 
  "Speed" : "nage",
  "Alignments" : ["5_NN"],
  "Legendary" : ""},
"Drake gardien": {
  "Name" : "Drake gardien",
  "VO" : "Guard Drake",
  "Family" : "DRAGON",
  "Species" : [""],
  "FP" : "2", 
  "Size" : "M",
  "AC" : 14,
  "HP" : 52, 
  "Speed" : "",
  "Alignments" : [],
  "Legendary" : ""},
"Dretch": {
  "Name" : "Dretch",
  "VO" : "Dretch",
  "Family" : "FIEND",
  "Species" : ["DAEMON"],
  "FP" : "1/4", 
  "Size" : "P",
  "AC" : 11,
  "HP" : 18, 
  "Speed" : "",
  "Alignments" : ["9_CM"],
  "Legendary" : ""},
"Drider": {
  "Name" : "Drider",
  "VO" : "Drider",
  "Family" : "MONSTROUS_CREATURE",
  "Species" : [""],
  "FP" : "6", 
  "Size" : "G",
  "AC" : 19,
  "HP" : 123, 
  "Speed" : "",
  "Alignments" : ["9_CM"],
  "Legendary" : ""},
"Drow": {
  "Name" : "Drow",
  "VO" : "Drow",
  "Family" : "HUMANOID",
  "Species" : ["ELF"],
  "FP" : "1/4", 
  "Size" : "M",
  "AC" : 15,
  "HP" : 13, 
  "Speed" : "",
  "Alignments" : ["8_NM"],
  "Legendary" : ""},
"Drow, arachnomancien": {
  "Name" : "Drow, arachnomancien",
  "VO" : "Drow Arachnomancer",
  "Family" : "HUMANOID",
  "Species" : ["ELF"],
  "FP" : "13", 
  "Size" : "M",
  "AC" : 15,
  "HP" : 162, 
  "Speed" : "",
  "Alignments" : ["8_NM"],
  "Legendary" : ""},
"Drow, capitaine de maison": {
  "Name" : "Drow, capitaine de maison",
  "VO" : "Drow House Captain",
  "Family" : "HUMANOID",
  "Species" : ["ELF"],
  "FP" : "9", 
  "Size" : "M",
  "AC" : 16,
  "HP" : 162, 
  "Speed" : "",
  "Alignments" : ["8_NM"],
  "Legendary" : ""},
"Drow, consort favori": {
  "Name" : "Drow, consort favori",
  "VO" : "Drow Favored Consort",
  "Family" : "HUMANOID",
  "Species" : ["ELF"],
  "FP" : "18", 
  "Size" : "M",
  "AC" : 15,
  "HP" : 225, 
  "Speed" : "",
  "Alignments" : ["8_NM"],
  "Legendary" : ""},
"Drow, guerrier d'élite": {
  "Name" : "Drow, guerrier d'élite",
  "VO" : "Drow Elite Warrior",
  "Family" : "HUMANOID",
  "Species" : ["ELF"],
  "FP" : "5", 
  "Size" : "M",
  "AC" : 18,
  "HP" : 71, 
  "Speed" : "",
  "Alignments" : ["8_NM"],
  "Legendary" : ""},
"Drow, inquisiteur": {
  "Name" : "Drow, inquisiteur",
  "VO" : "Drow Inquisitor",
  "Family" : "HUMANOID",
  "Species" : ["ELF"],
  "FP" : "14", 
  "Size" : "M",
  "AC" : 16,
  "HP" : 143, 
  "Speed" : "",
  "Alignments" : ["8_NM"],
  "Legendary" : ""},
"Drow, mage": {
  "Name" : "Drow, mage",
  "VO" : "Drow Mage",
  "Family" : "HUMANOID",
  "Species" : ["ELF"],
  "FP" : "7", 
  "Size" : "M",
  "AC" : 12,
  "HP" : 45, 
  "Speed" : "",
  "Alignments" : ["8_NM"],
  "Legendary" : ""},
"Drow, Mère matrone": {
  "Name" : "Drow, Mère matrone",
  "VO" : "Drow Matron Mother",
  "Family" : "HUMANOID",
  "Species" : ["ELF"],
  "FP" : "20", 
  "Size" : "M",
  "AC" : 17,
  "HP" : 262, 
  "Speed" : "",
  "Alignments" : ["8_NM"],
  "Legendary" : ""},
"Drow, ombrelame": {
  "Name" : "Drow, ombrelame",
  "VO" : "Drow Shadowblade",
  "Family" : "HUMANOID",
  "Species" : ["ELF"],
  "FP" : "11", 
  "Size" : "M",
  "AC" : 17,
  "HP" : 150, 
  "Speed" : "",
  "Alignments" : ["8_NM"],
  "Legendary" : ""},
"Drow, prêtresse de Lolth": {
  "Name" : "Drow, prêtresse de Lolth",
  "VO" : "Drow Priestress of Lolth",
  "Family" : "HUMANOID",
  "Species" : ["ELF"],
  "FP" : "8", 
  "Size" : "M",
  "AC" : 16,
  "HP" : 71, 
  "Speed" : "",
  "Alignments" : ["8_NM"],
  "Legendary" : ""},
"Druide": {
  "Name" : "Druide",
  "VO" : "Druid",
  "Family" : "HUMANOID",
  "Species" : [""],
  "FP" : "2", 
  "Size" : "M",
  "AC" : 11,
  "HP" : 27, 
  "Speed" : "",
  "Alignments" : ["1_LB", "2_NB", "3_CB", "4_LN", "5_NN", "6_CN", "7_LM", "8_NM", "9_CM"],
  "Legendary" : ""},
"Dryade": {
  "Name" : "Dryade",
  "VO" : "Dryad",
  "Family" : "FAIRY",
  "Species" : [""],
  "FP" : "1", 
  "Size" : "M",
  "AC" : 11,
  "HP" : 22, 
  "Speed" : "",
  "Alignments" : ["5_NN"],
  "Legendary" : ""},
"Duergar": {
  "Name" : "Duergar",
  "VO" : "Duergar",
  "Family" : "HUMANOID",
  "Species" : ["DWARF"],
  "FP" : "1", 
  "Size" : "M",
  "AC" : 16,
  "HP" : 26, 
  "Speed" : "",
  "Alignments" : ["7_LM"],
  "Legendary" : ""},
"Duergar, despote": {
  "Name" : "Duergar, despote",
  "VO" : "Duergar Despot",
  "Family" : "HUMANOID",
  "Species" : ["DWARF"],
  "FP" : "12", 
  "Size" : "M",
  "AC" : 21,
  "HP" : 119, 
  "Speed" : "",
  "Alignments" : ["7_LM"],
  "Legendary" : ""},
"Duergar, garde de pierre": {
  "Name" : "Duergar, garde de pierre",
  "VO" : "Duergar Stone Guard",
  "Family" : "HUMANOID",
  "Species" : ["DWARF"],
  "FP" : "2", 
  "Size" : "M",
  "AC" : 18,
  "HP" : 39, 
  "Speed" : "",
  "Alignments" : ["7_LM"],
  "Legendary" : ""},
"Duergar, kavalrachni": {
  "Name" : "Duergar, kavalrachni",
  "VO" : "Duergar Kavalrachni",
  "Family" : "HUMANOID",
  "Species" : ["DWARF"],
  "FP" : "2", 
  "Size" : "M",
  "AC" : 16,
  "HP" : 26, 
  "Speed" : "",
  "Alignments" : ["7_LM"],
  "Legendary" : ""},
"Duergar, lame d'âme": {
  "Name" : "Duergar, lame d'âme",
  "VO" : "Duergar Soulblade",
  "Family" : "HUMANOID",
  "Species" : ["DWARF"],
  "FP" : "1", 
  "Size" : "M",
  "AC" : 14,
  "HP" : 18, 
  "Speed" : "",
  "Alignments" : ["7_LM"],
  "Legendary" : ""},
"Duergar, maître des esprits": {
  "Name" : "Duergar, maître des esprits",
  "VO" : "Duergar Mind Master",
  "Family" : "HUMANOID",
  "Species" : ["DWARF"],
  "FP" : "2", 
  "Size" : "M",
  "AC" : 14,
  "HP" : 39, 
  "Speed" : "",
  "Alignments" : ["7_LM"],
  "Legendary" : ""},
"Duergar, seigneur de guerre": {
  "Name" : "Duergar, seigneur de guerre",
  "VO" : "Duergar Warlord",
  "Family" : "HUMANOID",
  "Species" : ["DWARF"],
  "FP" : "6", 
  "Size" : "M",
  "AC" : 20,
  "HP" : 75, 
  "Speed" : "",
  "Alignments" : ["7_LM"],
  "Legendary" : ""},
"Duergar, xarrorn": {
  "Name" : "Duergar, xarrorn",
  "VO" : "Duergar Xarrorn",
  "Family" : "HUMANOID",
  "Species" : ["DWARF"],
  "FP" : "2", 
  "Size" : "M",
  "AC" : 18,
  "HP" : 26, 
  "Speed" : "",
  "Alignments" : ["7_LM"],
  "Legendary" : ""},
"Duodrone": {
  "Name" : "Duodrone",
  "VO" : "Duodrone",
  "Family" : "ARTIFICIAL_CREATURE",
  "Species" : [""],
  "FP" : "1/4", 
  "Size" : "M",
  "AC" : 15,
  "HP" : 11, 
  "Speed" : "",
  "Alignments" : ["4_LN"],
  "Legendary" : ""},
"Dybbuk": {
  "Name" : "Dybbuk",
  "VO" : "Dybbuk",
  "Family" : "FIEND",
  "Species" : ["DAEMON"],
  "FP" : "4", 
  "Size" : "M",
  "AC" : 14,
  "HP" : 37, 
  "Speed" : "vol",
  "Alignments" : ["9_CM"],
  "Legendary" : ""},
"Dyrrn": {
  "Name" : "Dyrrn",
  "VO" : "Dyrrn",
  "Family" : "ABERRATION",
  "Species" : [""],
  "FP" : "24", 
  "Size" : "M",
  "AC" : 21,
  "HP" : 325, 
  "Speed" : "vol",
  "Alignments" : ["9_CM"],
  "Legendary" : ""},
"Éclair vivant": {
  "Name" : "Éclair vivant",
  "VO" : "Living Lightning Bolt",
  "Family" : "ARTIFICIAL_CREATURE",
  "Species" : [""],
  "FP" : "5", 
  "Size" : "G",
  "AC" : 15,
  "HP" : 57, 
  "Speed" : "vol",
  "Alignments" : [],
  "Legendary" : ""},
"Éclaireur": {
  "Name" : "Éclaireur",
  "VO" : "Scout",
  "Family" : "HUMANOID",
  "Species" : [""],
  "FP" : "1/2", 
  "Size" : "M",
  "AC" : 13,
  "HP" : 16, 
  "Speed" : "",
  "Alignments" : ["1_LB", "2_NB", "3_CB", "4_LN", "5_NN", "6_CN", "7_LM", "8_NM", "9_CM"],
  "Legendary" : ""},
"Éfrit": {
  "Name" : "Éfrit",
  "VO" : "Efreeti",
  "Family" : "ELEMENTARY",
  "Species" : [""],
  "FP" : "11", 
  "Size" : "G",
  "AC" : 17,
  "HP" : 200, 
  "Speed" : "vol",
  "Alignments" : ["7_LM"],
  "Legendary" : ""},
"Eidolon": {
  "Name" : "Eidolon",
  "VO" : "Eidolon",
  "Family" : "UNDEAD",
  "Species" : [""],
  "FP" : "12", 
  "Size" : "M",
  "AC" : 9,
  "HP" : 63, 
  "Speed" : "vol",
  "Alignments" : ["1_LB", "2_NB", "3_CB", "4_LN", "5_NN", "6_CN", "7_LM", "8_NM", "9_CM"],
  "Legendary" : ""},
"Éladrin d'automne": {
  "Name" : "Éladrin d'automne",
  "VO" : "Autumn Eladrin",
  "Family" : "FAIRY",
  "Species" : ["ELF"],
  "FP" : "10", 
  "Size" : "M",
  "AC" : 19,
  "HP" : 127, 
  "Speed" : "",
  "Alignments" : ["6_CN"],
  "Legendary" : ""},
"Éladrin d'été": {
  "Name" : "Éladrin d'été",
  "VO" : "Summer Eladrin",
  "Family" : "FAIRY",
  "Species" : ["ELF"],
  "FP" : "10", 
  "Size" : "M",
  "AC" : 19,
  "HP" : 127, 
  "Speed" : "",
  "Alignments" : ["6_CN"],
  "Legendary" : ""},
"Éladrin d'hiver": {
  "Name" : "Éladrin d'hiver",
  "VO" : "Winter Eladrin",
  "Family" : "FAIRY",
  "Species" : ["ELF"],
  "FP" : "10", 
  "Size" : "M",
  "AC" : 19,
  "HP" : 127, 
  "Speed" : "",
  "Alignments" : ["6_CN"],
  "Legendary" : ""},
"Éladrin de printemps": {
  "Name" : "Éladrin de printemps",
  "VO" : "Spring Eladrin",
  "Family" : "FAIRY",
  "Species" : ["ELF"],
  "FP" : "10", 
  "Size" : "M",
  "AC" : 19,
  "HP" : 127, 
  "Speed" : "",
  "Alignments" : ["6_CN"],
  "Legendary" : ""},
"Élan": {
  "Name" : "Élan",
  "VO" : "Elk",
  "Family" : "BEAST",
  "Species" : [""],
  "FP" : "1/4", 
  "Size" : "G",
  "AC" : 10,
  "HP" : 13, 
  "Speed" : "",
  "Alignments" : [],
  "Legendary" : ""},
"Élan géant": {
  "Name" : "Élan géant",
  "VO" : "Giant Elk",
  "Family" : "BEAST",
  "Species" : [""],
  "FP" : "2", 
  "Size" : "TG",
  "AC" : 14,
  "HP" : 42, 
  "Speed" : "",
  "Alignments" : [],
  "Legendary" : ""},
"Élémentaire de l'air": {
  "Name" : "Élémentaire de l'air",
  "VO" : "Air Elemental",
  "Family" : "ELEMENTARY",
  "Species" : [""],
  "FP" : "5", 
  "Size" : "G",
  "AC" : 15,
  "HP" : 90, 
  "Speed" : "vol",
  "Alignments" : ["5_NN"],
  "Legendary" : ""},
"Élémentaire de l'air, myrmidon": {
  "Name" : "Élémentaire de l'air, myrmidon",
  "VO" : "Air Elemental Myrmidon",
  "Family" : "ELEMENTARY",
  "Species" : [""],
  "FP" : "7", 
  "Size" : "M",
  "AC" : 18,
  "HP" : 117, 
  "Speed" : "vol",
  "Alignments" : ["5_NN"],
  "Legendary" : ""},
"Élémentaire de l'eau": {
  "Name" : "Élémentaire de l'eau",
  "VO" : "Water Elemental",
  "Family" : "ELEMENTARY",
  "Species" : [""],
  "FP" : "5", 
  "Size" : "G",
  "AC" : 14,
  "HP" : 114, 
  "Speed" : "nage",
  "Alignments" : ["5_NN"],
  "Legendary" : ""},
"Élémentaire de l'eau, myrmidon": {
  "Name" : "Élémentaire de l'eau, myrmidon",
  "VO" : "Water Elemental Myrmidon",
  "Family" : "ELEMENTARY",
  "Species" : [""],
  "FP" : "7", 
  "Size" : "M",
  "AC" : 18,
  "HP" : 127, 
  "Speed" : "nage",
  "Alignments" : ["5_NN"],
  "Legendary" : ""},
"Élémentaire de la terre": {
  "Name" : "Élémentaire de la terre",
  "VO" : "Earth Elemental",
  "Family" : "ELEMENTARY",
  "Species" : [""],
  "FP" : "5", 
  "Size" : "G",
  "AC" : 17,
  "HP" : 126, 
  "Speed" : "",
  "Alignments" : ["5_NN"],
  "Legendary" : ""},
"Élémentaire de la terre, myrmidon": {
  "Name" : "Élémentaire de la terre, myrmidon",
  "VO" : "Earth Elemental Myrmidon",
  "Family" : "ELEMENTARY",
  "Species" : [""],
  "FP" : "7", 
  "Size" : "M",
  "AC" : 18,
  "HP" : 127, 
  "Speed" : "",
  "Alignments" : ["5_NN"],
  "Legendary" : ""},
"Élémentaire du feu": {
  "Name" : "Élémentaire du feu",
  "VO" : "Fire Elemental",
  "Family" : "ELEMENTARY",
  "Species" : [""],
  "FP" : "5", 
  "Size" : "G",
  "AC" : 13,
  "HP" : 102, 
  "Speed" : "",
  "Alignments" : ["5_NN"],
  "Legendary" : ""},
"Élémentaire du feu, myrmidon": {
  "Name" : "Élémentaire du feu, myrmidon",
  "VO" : "Fire Elemental Myrmidon",
  "Family" : "ELEMENTARY",
  "Species" : [""],
  "FP" : "7", 
  "Size" : "M",
  "AC" : 18,
  "HP" : 123, 
  "Speed" : "",
  "Alignments" : ["5_NN"],
  "Legendary" : ""},
"Éléphant": {
  "Name" : "Éléphant",
  "VO" : "Elephant",
  "Family" : "BEAST",
  "Species" : [""],
  "FP" : "4", 
  "Size" : "TG",
  "AC" : 12,
  "HP" : 76, 
  "Speed" : "",
  "Alignments" : [],
  "Legendary" : ""},
"Elric": {
  "Name" : "Elric",
  "VO" : "Elric",
  "Family" : "HUMANOID",
  "Species" : ["HUMAN"],
  "FP" : "1/4", 
  "Size" : "M",
  "AC" : 10,
  "HP" : 7, 
  "Speed" : "",
  "Alignments" : ["5_NN"],
  "Legendary" : ""},
"Empyréen": {
  "Name" : "Empyréen",
  "VO" : "Empyrean",
  "Family" : "CELESTIAL",
  "Species" : ["TITAN"],
  "FP" : "23", 
  "Size" : "TG",
  "AC" : 22,
  "HP" : 313, 
  "Speed" : "vol, nage",
  "Alignments" : ["3_CB"],
  "Legendary" : "Légendaire"},
"Enchanteur": {
  "Name" : "Enchanteur",
  "VO" : "Enchanter",
  "Family" : "HUMANOID",
  "Species" : [""],
  "FP" : "5", 
  "Size" : "M",
  "AC" : 12,
  "HP" : 40, 
  "Speed" : "",
  "Alignments" : ["1_LB", "2_NB", "3_CB", "4_LN", "5_NN", "6_CN", "7_LM", "8_NM", "9_CM"],
  "Legendary" : ""},
"Enlaceur": {
  "Name" : "Enlaceur",
  "VO" : "Roper",
  "Family" : "MONSTROUS_CREATURE",
  "Species" : [""],
  "FP" : "5", 
  "Size" : "G",
  "AC" : 20,
  "HP" : 93, 
  "Speed" : "",
  "Alignments" : ["8_NM"],
  "Legendary" : ""},
"Épaulard": {
  "Name" : "Épaulard",
  "VO" : "Killer Whale",
  "Family" : "BEAST",
  "Species" : [""],
  "FP" : "3", 
  "Size" : "TG",
  "AC" : 12,
  "HP" : 90, 
  "Speed" : "nage",
  "Alignments" : [],
  "Legendary" : ""},
"Épée volante": {
  "Name" : "Épée volante",
  "VO" : "Flying Sword",
  "Family" : "ARTIFICIAL_CREATURE",
  "Species" : [""],
  "FP" : "1/4", 
  "Size" : "P",
  "AC" : 17,
  "HP" : 17, 
  "Speed" : "vol",
  "Alignments" : [],
  "Legendary" : ""},
"Épineux": {
  "Name" : "Épineux",
  "VO" : "Thorny",
  "Family" : "PLANT",
  "Species" : [""],
  "FP" : "1", 
  "Size" : "M",
  "AC" : 14,
  "HP" : 27, 
  "Speed" : "",
  "Alignments" : ["5_NN"],
  "Legendary" : ""},
"Épouvantail": {
  "Name" : "Épouvantail",
  "VO" : "Scarecrow",
  "Family" : "ARTIFICIAL_CREATURE",
  "Species" : [""],
  "FP" : "1", 
  "Size" : "M",
  "AC" : 11,
  "HP" : 36, 
  "Speed" : "",
  "Alignments" : ["9_CM"],
  "Legendary" : ""},
"Érinye": {
  "Name" : "Érinye",
  "VO" : "Erinyes",
  "Family" : "FIEND",
  "Species" : ["DEVIL"],
  "FP" : "12", 
  "Size" : "M",
  "AC" : 18,
  "HP" : 153, 
  "Speed" : "vol",
  "Alignments" : ["7_LM"],
  "Legendary" : ""},
"Escargot fléau": {
  "Name" : "Escargot fléau",
  "VO" : "Flail Snail",
  "Family" : "ELEMENTARY",
  "Species" : [""],
  "FP" : "3", 
  "Size" : "G",
  "AC" : 16,
  "HP" : 52, 
  "Speed" : "",
  "Alignments" : [],
  "Legendary" : ""},
"Espion": {
  "Name" : "Espion",
  "VO" : "Spy",
  "Family" : "HUMANOID",
  "Species" : [""],
  "FP" : "1", 
  "Size" : "M",
  "AC" : 12,
  "HP" : 27, 
  "Speed" : "",
  "Alignments" : ["1_LB", "2_NB", "3_CB", "4_LN", "5_NN", "6_CN", "7_LM", "8_NM", "9_CM"],
  "Legendary" : ""},
"Esprit follet": {
  "Name" : "Esprit follet",
  "VO" : "Sprite",
  "Family" : "FAIRY",
  "Species" : [""],
  "FP" : "1/4", 
  "Size" : "TP",
  "AC" : 15,
  "HP" : 2, 
  "Speed" : "vol",
  "Alignments" : ["2_NB"],
  "Legendary" : ""},
"Étrangleur": {
  "Name" : "Étrangleur",
  "VO" : "Choker",
  "Family" : "ABERRATION",
  "Species" : [""],
  "FP" : "1", 
  "Size" : "P",
  "AC" : 16,
  "HP" : 13, 
  "Speed" : "",
  "Alignments" : ["9_CM"],
  "Legendary" : ""},
"Ettercap": {
  "Name" : "Ettercap",
  "VO" : "Ettercap",
  "Family" : "MONSTROUS_CREATURE",
  "Species" : [""],
  "FP" : "2", 
  "Size" : "M",
  "AC" : 13,
  "HP" : 44, 
  "Speed" : "",
  "Alignments" : ["8_NM"],
  "Legendary" : ""},
"Ettin": {
  "Name" : "Ettin",
  "VO" : "Ettin",
  "Family" : "GIANT",
  "Species" : [""],
  "FP" : "4", 
  "Size" : "G",
  "AC" : 12,
  "HP" : 85, 
  "Speed" : "",
  "Alignments" : ["9_CM"],
  "Legendary" : ""},
"Évocateur": {
  "Name" : "Évocateur",
  "VO" : "Evoker",
  "Family" : "HUMANOID",
  "Species" : [""],
  "FP" : "9", 
  "Size" : "M",
  "AC" : 12,
  "HP" : 66, 
  "Speed" : "",
  "Alignments" : ["1_LB", "2_NB", "3_CB", "4_LN", "5_NN", "6_CN", "7_LM", "8_NM", "9_CM"],
  "Legendary" : ""},
"Expert (niv 1)": {
  "Name" : "Expert (niv 1)",
  "VO" : "Expert (lvl 1)",
  "Family" : "HUMANOID",
  "Species" : [""],
  "FP" : "0", 
  "Size" : "M",
  "AC" : 14,
  "HP" : 11, 
  "Speed" : "",
  "Alignments" : ["1_LB", "2_NB", "3_CB", "4_LN", "5_NN", "6_CN", "7_LM", "8_NM", "9_CM"],
  "Legendary" : ""},
"Expert (niv 2)": {
  "Name" : "Expert (niv 2)",
  "VO" : "Expert (lvl 2)",
  "Family" : "HUMANOID",
  "Species" : [""],
  "FP" : "0", 
  "Size" : "M",
  "AC" : 14,
  "HP" : 16, 
  "Speed" : "",
  "Alignments" : ["1_LB", "2_NB", "3_CB", "4_LN", "5_NN", "6_CN", "7_LM", "8_NM", "9_CM"],
  "Legendary" : ""},
"Expert (niv 3)": {
  "Name" : "Expert (niv 3)",
  "VO" : "Expert (lvl 3)",
  "Family" : "HUMANOID",
  "Species" : [""],
  "FP" : "0", 
  "Size" : "M",
  "AC" : 14,
  "HP" : 22, 
  "Speed" : "",
  "Alignments" : ["1_LB", "2_NB", "3_CB", "4_LN", "5_NN", "6_CN", "7_LM", "8_NM", "9_CM"],
  "Legendary" : ""},
"Expert (niv 4)": {
  "Name" : "Expert (niv 4)",
  "VO" : "Expert (lvl 4)",
  "Family" : "HUMANOID",
  "Species" : [""],
  "FP" : "0", 
  "Size" : "M",
  "AC" : 14,
  "HP" : 27, 
  "Speed" : "",
  "Alignments" : ["1_LB", "2_NB", "3_CB", "4_LN", "5_NN", "6_CN", "7_LM", "8_NM", "9_CM"],
  "Legendary" : ""},
"Expert (niv 5)": {
  "Name" : "Expert (niv 5)",
  "VO" : "Expert (lvl 5)",
  "Family" : "HUMANOID",
  "Species" : [""],
  "FP" : "0", 
  "Size" : "M",
  "AC" : 14,
  "HP" : 33, 
  "Speed" : "",
  "Alignments" : ["1_LB", "2_NB", "3_CB", "4_LN", "5_NN", "6_CN", "7_LM", "8_NM", "9_CM"],
  "Legendary" : ""},
"Expert (niv 6)": {
  "Name" : "Expert (niv 6)",
  "VO" : "Expert (lvl 6)",
  "Family" : "HUMANOID",
  "Species" : [""],
  "FP" : "0", 
  "Size" : "M",
  "AC" : 14,
  "HP" : 38, 
  "Speed" : "",
  "Alignments" : ["1_LB", "2_NB", "3_CB", "4_LN", "5_NN", "6_CN", "7_LM", "8_NM", "9_CM"],
  "Legendary" : ""},
"Expert en arts martiaux": {
  "Name" : "Expert en arts martiaux",
  "VO" : "Martial Arts Adept",
  "Family" : "HUMANOID",
  "Species" : [""],
  "FP" : "3", 
  "Size" : "M",
  "AC" : 16,
  "HP" : 60, 
  "Speed" : "",
  "Alignments" : ["1_LB", "2_NB", "3_CB", "4_LN", "5_NN", "6_CN", "7_LM", "8_NM", "9_CM"],
  "Legendary" : ""},
"Fanatique": {
  "Name" : "Fanatique",
  "VO" : "Cult Fanatic",
  "Family" : "HUMANOID",
  "Species" : [""],
  "FP" : "2", 
  "Size" : "M",
  "AC" : 13,
  "HP" : 33, 
  "Speed" : "",
  "Alignments" : ["4_LN", "5_NN", "6_CN", "7_LM", "8_NM", "9_CM"],
  "Legendary" : ""},
"Fantôme": {
  "Name" : "Fantôme",
  "VO" : "Ghost",
  "Family" : "UNDEAD",
  "Species" : [""],
  "FP" : "4", 
  "Size" : "M",
  "AC" : 11,
  "HP" : 45, 
  "Speed" : "vol",
  "Alignments" : ["1_LB", "2_NB", "3_CB", "4_LN", "5_NN", "6_CN", "7_LM", "8_NM", "9_CM"],
  "Legendary" : ""},
"Faucheur de Bhaal": {
  "Name" : "Faucheur de Bhaal",
  "VO" : "Reaper of Bhaal",
  "Family" : "HUMANOID",
  "Species" : ["HUMAN"],
  "FP" : "2", 
  "Size" : "M",
  "AC" : 15,
  "HP" : 27, 
  "Speed" : "",
  "Alignments" : ["9_CM"],
  "Legendary" : ""}</v>
      </c>
    </row>
    <row r="826" spans="1:16">
      <c r="N826" s="297"/>
      <c r="P826" t="str">
        <f>CONCATENATE(",
",P301,",
",P302,",
",P303,",
",P304,",
",P305,",
",P306,",
",P307,",
",P308,",
",P309,",
",P310,",
",P311,",
",P312,",
",P313,",
",P314,",
",P315,",
",P316,",
",P317,",
",P318,",
",P319,",
",P320,",
",P321,",
",P322,",
",P323,",
",P324,",
",P325,",
",P326,",
",P327,",
",P328,",
",P329,",
",P330,",
",P331,",
",P332,",
",P333,",
",P334,",
",P335,",
",P336,",
",P337,",
",P338,",
",P339,",
",P340,",
",P341,",
",P342,",
",P343,",
",P344,",
",P345,",
",P346,",
",P347,",
",P348,",
",P349,",
",P350,",
",P351,",
",P352,",
",P353,",
",P354,",
",P355,",
",P356,",
",P357,",
",P358,",
",P359,",
",P360,",
",P361,",
",P362,",
",P363,",
",P364,",
",P365,",
",P366,",
",P367,",
",P368,",
",P369,",
",P370,",
",P371,",
",P372,",
",P373,",
",P374,",
",P375,",
",P376,",
",P377,",
",P378,",
",P379,",
",P380,",
",P381,",
",P382,",
",P383,",
",P384,",
",P385,",
",P386,",
",P387,",
",P388,",
",P389,",
",P390,",
",P391,",
",P392,",
",P393,",
",P394,",
",P395,",
",P396,",
",P397,",
",P398,",
",P399,",
",P400)</f>
        <v>,
"Faucon": {
  "Name" : "Faucon",
  "VO" : "Hawk",
  "Family" : "BEAST",
  "Species" : [""],
  "FP" : "0", 
  "Size" : "TP",
  "AC" : 13,
  "HP" : 1, 
  "Speed" : "vol",
  "Alignments" : [],
  "Legendary" : ""},
"Faucon de sang": {
  "Name" : "Faucon de sang",
  "VO" : "Blood Hawk",
  "Family" : "BEAST",
  "Species" : [""],
  "FP" : "1/8", 
  "Size" : "P",
  "AC" : 12,
  "HP" : 7, 
  "Speed" : "vol",
  "Alignments" : [],
  "Legendary" : ""},
"Faucon du Valénar": {
  "Name" : "Faucon du Valénar",
  "VO" : "Valenar Hawk",
  "Family" : "FAIRY",
  "Species" : [""],
  "FP" : "1/8", 
  "Size" : "TP",
  "AC" : 14,
  "HP" : 10, 
  "Speed" : "vol",
  "Alignments" : ["5_NN"],
  "Legendary" : ""},
"Féral": {
  "Name" : "Féral",
  "VO" : "Shifter",
  "Family" : "HUMANOID",
  "Species" : ["FERAL"],
  "FP" : "1/2", 
  "Size" : "M",
  "AC" : 14,
  "HP" : 19, 
  "Speed" : "",
  "Alignments" : ["1_LB", "2_NB", "3_CB", "4_LN", "5_NN", "6_CN", "7_LM", "8_NM", "9_CM"],
  "Legendary" : ""},
"Feu follet": {
  "Name" : "Feu follet",
  "VO" : "Will-o'-Wisp",
  "Family" : "UNDEAD",
  "Species" : [""],
  "FP" : "2", 
  "Size" : "TP",
  "AC" : 19,
  "HP" : 22, 
  "Speed" : "vol",
  "Alignments" : ["9_CM"],
  "Legendary" : ""},
"Flagelleur des crânes de Myrkul": {
  "Name" : "Flagelleur des crânes de Myrkul",
  "VO" : "Skull Lasher of Myrkul",
  "Family" : "HUMANOID",
  "Species" : ["HUMAN"],
  "FP" : "1", 
  "Size" : "M",
  "AC" : 12,
  "HP" : 32, 
  "Speed" : "",
  "Alignments" : ["8_NM"],
  "Legendary" : ""},
"Flagelleur mental": {
  "Name" : "Flagelleur mental",
  "VO" : "Mind Flayer",
  "Family" : "ABERRATION",
  "Species" : [""],
  "FP" : "7", 
  "Size" : "M",
  "AC" : 15,
  "HP" : 71, 
  "Speed" : "",
  "Alignments" : ["7_LM"],
  "Legendary" : ""},
"Fleur charognarde": {
  "Name" : "Fleur charognarde",
  "VO" : "Corpse Flower",
  "Family" : "PLANT",
  "Species" : [""],
  "FP" : "8", 
  "Size" : "G",
  "AC" : 12,
  "HP" : 127, 
  "Speed" : "",
  "Alignments" : ["9_CM"],
  "Legendary" : ""},
"Flind": {
  "Name" : "Flind",
  "VO" : "Flind",
  "Family" : "HUMANOID",
  "Species" : ["GNOLL"],
  "FP" : "9", 
  "Size" : "M",
  "AC" : 16,
  "HP" : 127, 
  "Speed" : "",
  "Alignments" : ["9_CM"],
  "Legendary" : ""},
"Flumph": {
  "Name" : "Flumph",
  "VO" : "Flumph",
  "Family" : "ABERRATION",
  "Species" : [""],
  "FP" : "1/8", 
  "Size" : "P",
  "AC" : 12,
  "HP" : 7, 
  "Speed" : "vol",
  "Alignments" : ["1_LB"],
  "Legendary" : ""},
"Fomorien": {
  "Name" : "Fomorien",
  "VO" : "Fomorian",
  "Family" : "GIANT",
  "Species" : [""],
  "FP" : "8", 
  "Size" : "TG",
  "AC" : 14,
  "HP" : 149, 
  "Speed" : "",
  "Alignments" : ["9_CM"],
  "Legendary" : ""},
"Forgelier, colosse": {
  "Name" : "Forgelier, colosse",
  "VO" : "Warforged Colossus",
  "Family" : "ARTIFICIAL_CREATURE",
  "Species" : [""],
  "FP" : "25", 
  "Size" : "Gig",
  "AC" : 23,
  "HP" : 410, 
  "Speed" : "",
  "Alignments" : [],
  "Legendary" : ""},
"Forgelier, soldat": {
  "Name" : "Forgelier, soldat",
  "VO" : "Warforged Soldier",
  "Family" : "HUMANOID",
  "Species" : ["WARFORGED"],
  "FP" : "1", 
  "Size" : "M",
  "AC" : 16,
  "HP" : 30, 
  "Speed" : "",
  "Alignments" : ["1_LB", "2_NB", "3_CB", "4_LN", "5_NN", "6_CN", "7_LM", "8_NM", "9_CM"],
  "Legendary" : ""},
"Forgelier, titan": {
  "Name" : "Forgelier, titan",
  "VO" : "Warforged Titan",
  "Family" : "ARTIFICIAL_CREATURE",
  "Species" : [""],
  "FP" : "8", 
  "Size" : "TG",
  "AC" : 20,
  "HP" : 125, 
  "Speed" : "",
  "Alignments" : ["4_LN"],
  "Legendary" : ""},
"Fraz-Urb'luu": {
  "Name" : "Fraz-Urb'luu",
  "VO" : "Fraz-Urb'luu",
  "Family" : "FIEND",
  "Species" : ["DAEMON"],
  "FP" : "23", 
  "Size" : "G",
  "AC" : 18,
  "HP" : 337, 
  "Speed" : "vol",
  "Alignments" : ["9_CM"],
  "Legendary" : ""},
"Froghémoth": {
  "Name" : "Froghémoth",
  "VO" : "Froghemoth",
  "Family" : "MONSTROUS_CREATURE",
  "Species" : [""],
  "FP" : "10", 
  "Size" : "TG",
  "AC" : 14,
  "HP" : 184, 
  "Speed" : "nage",
  "Alignments" : [],
  "Legendary" : ""},
"Furie des mers": {
  "Name" : "Furie des mers",
  "VO" : "Sea Fury",
  "Family" : "FAIRY",
  "Species" : [""],
  "FP" : "12", 
  "Size" : "M",
  "AC" : 14,
  "HP" : 105, 
  "Speed" : "nage",
  "Alignments" : ["9_CM"],
  "Legendary" : ""},
"Furte": {
  "Name" : "Furte",
  "VO" : "Skulk",
  "Family" : "HUMANOID",
  "Species" : [""],
  "FP" : "1/2", 
  "Size" : "M",
  "AC" : 14,
  "HP" : 18, 
  "Speed" : "",
  "Alignments" : ["6_CN"],
  "Legendary" : ""},
"Galeb duhr": {
  "Name" : "Galeb duhr",
  "VO" : "Galeb Duhr",
  "Family" : "ELEMENTARY",
  "Species" : [""],
  "FP" : "6", 
  "Size" : "M",
  "AC" : 16,
  "HP" : 85, 
  "Speed" : "",
  "Alignments" : ["5_NN"],
  "Legendary" : ""},
"Gantelet noir de Baine": {
  "Name" : "Gantelet noir de Baine",
  "VO" : "Black Gauntlet of Bane",
  "Family" : "HUMANOID",
  "Species" : ["HUMAN"],
  "FP" : "6", 
  "Size" : "M",
  "AC" : 16,
  "HP" : 51, 
  "Speed" : "",
  "Alignments" : ["7_LM"],
  "Legendary" : ""},
"Garde": {
  "Name" : "Garde",
  "VO" : "Guard",
  "Family" : "HUMANOID",
  "Species" : [""],
  "FP" : "1/8", 
  "Size" : "M",
  "AC" : 16,
  "HP" : 11, 
  "Speed" : "",
  "Alignments" : ["1_LB", "2_NB", "3_CB", "4_LN", "5_NN", "6_CN", "7_LM", "8_NM", "9_CM"],
  "Legendary" : ""},
"Gardien animé": {
  "Name" : "Gardien animé",
  "VO" : "Shield Guardian",
  "Family" : "ARTIFICIAL_CREATURE",
  "Species" : [""],
  "FP" : "7", 
  "Size" : "G",
  "AC" : 17,
  "HP" : 142, 
  "Speed" : "",
  "Alignments" : [],
  "Legendary" : ""},
"Gargouille": {
  "Name" : "Gargouille",
  "VO" : "Gargoyle",
  "Family" : "ELEMENTARY",
  "Species" : [""],
  "FP" : "2", 
  "Size" : "M",
  "AC" : 15,
  "HP" : 52, 
  "Speed" : "vol",
  "Alignments" : ["9_CM"],
  "Legendary" : ""},
"Gauth": {
  "Name" : "Gauth",
  "VO" : "Gauth",
  "Family" : "ABERRATION",
  "Species" : [""],
  "FP" : "6", 
  "Size" : "M",
  "AC" : 15,
  "HP" : 67, 
  "Speed" : "vol",
  "Alignments" : ["7_LM"],
  "Legendary" : ""},
"Gazer": {
  "Name" : "Gazer",
  "VO" : "Gazer",
  "Family" : "ABERRATION",
  "Species" : [""],
  "FP" : "1/2", 
  "Size" : "TP",
  "AC" : 13,
  "HP" : 13, 
  "Speed" : "vol",
  "Alignments" : ["8_NM"],
  "Legendary" : ""},
"Géant des collines": {
  "Name" : "Géant des collines",
  "VO" : "Hill Giant",
  "Family" : "GIANT",
  "Species" : [""],
  "FP" : "5", 
  "Size" : "TG",
  "AC" : 13,
  "HP" : 105, 
  "Speed" : "",
  "Alignments" : ["9_CM"],
  "Legendary" : ""},
"Géant des collines maudit": {
  "Name" : "Géant des collines maudit",
  "VO" : "Cursed Hill Giant",
  "Family" : "GIANT",
  "Species" : [""],
  "FP" : "1", 
  "Size" : "P",
  "AC" : 13,
  "HP" : 27, 
  "Speed" : "",
  "Alignments" : ["7_LM"],
  "Legendary" : ""},
"Géant des nuages": {
  "Name" : "Géant des nuages",
  "VO" : "Cloud Giant",
  "Family" : "GIANT",
  "Species" : [""],
  "FP" : "9", 
  "Size" : "TG",
  "AC" : 14,
  "HP" : 200, 
  "Speed" : "",
  "Alignments" : ["2_NB"],
  "Legendary" : ""},
"Géant des nuages, tout-sourire": {
  "Name" : "Géant des nuages, tout-sourire",
  "VO" : "Cloud Giant Smiling One",
  "Family" : "GIANT",
  "Species" : ["GIANT_CLOUDS"],
  "FP" : "11", 
  "Size" : "TG",
  "AC" : 15,
  "HP" : 262, 
  "Speed" : "",
  "Alignments" : ["6_CN"],
  "Legendary" : ""},
"Géant des pierres": {
  "Name" : "Géant des pierres",
  "VO" : "Stone Giant",
  "Family" : "GIANT",
  "Species" : [""],
  "FP" : "7", 
  "Size" : "TG",
  "AC" : 17,
  "HP" : 126, 
  "Speed" : "",
  "Alignments" : ["5_NN"],
  "Legendary" : ""},
"Géant des pierres, marcherêve": {
  "Name" : "Géant des pierres, marcherêve",
  "VO" : "Stone Giant Dreamwalker",
  "Family" : "GIANT",
  "Species" : ["GIANT_STONES"],
  "FP" : "10", 
  "Size" : "TG",
  "AC" : 18,
  "HP" : 161, 
  "Speed" : "",
  "Alignments" : ["6_CN"],
  "Legendary" : ""},
"Géant des tempêtes": {
  "Name" : "Géant des tempêtes",
  "VO" : "Storm Giant",
  "Family" : "GIANT",
  "Species" : [""],
  "FP" : "13", 
  "Size" : "TG",
  "AC" : 16,
  "HP" : 230, 
  "Speed" : "nage",
  "Alignments" : ["3_CB"],
  "Legendary" : ""},
"Géant des tempêtes, quintessent": {
  "Name" : "Géant des tempêtes, quintessent",
  "VO" : "Storm Giant Quintessent",
  "Family" : "GIANT",
  "Species" : ["GIANT_STORMS"],
  "FP" : "16", 
  "Size" : "TG",
  "AC" : 12,
  "HP" : 230, 
  "Speed" : "vol, nage",
  "Alignments" : ["3_CB"],
  "Legendary" : ""},
"Géant du feu": {
  "Name" : "Géant du feu",
  "VO" : "Fire Giant",
  "Family" : "GIANT",
  "Species" : [""],
  "FP" : "9", 
  "Size" : "TG",
  "AC" : 18,
  "HP" : 162, 
  "Speed" : "",
  "Alignments" : ["7_LM"],
  "Legendary" : ""},
"Géant du feu, cuirassé": {
  "Name" : "Géant du feu, cuirassé",
  "VO" : "Fire Giant Dreadnought",
  "Family" : "GIANT",
  "Species" : ["GIANT_FIRE"],
  "FP" : "14", 
  "Size" : "TG",
  "AC" : 21,
  "HP" : 187, 
  "Speed" : "",
  "Alignments" : ["7_LM"],
  "Legendary" : ""},
"Géant du givre": {
  "Name" : "Géant du givre",
  "VO" : "Frost Giant",
  "Family" : "GIANT",
  "Species" : [""],
  "FP" : "8", 
  "Size" : "TG",
  "AC" : 15,
  "HP" : 138, 
  "Speed" : "",
  "Alignments" : ["8_NM"],
  "Legendary" : ""},
"Géant du givre zombi": {
  "Name" : "Géant du givre zombi",
  "VO" : "Frost Giant Zombie",
  "Family" : "UNDEAD",
  "Species" : [""],
  "FP" : "9", 
  "Size" : "TG",
  "AC" : 15,
  "HP" : 138, 
  "Speed" : "",
  "Alignments" : ["8_NM"],
  "Legendary" : ""},
"Géant du givre, éternel": {
  "Name" : "Géant du givre, éternel",
  "VO" : "Frost Giant Everlasting One",
  "Family" : "GIANT",
  "Species" : ["GIANT_FROSTED"],
  "FP" : "12", 
  "Size" : "TG",
  "AC" : 15,
  "HP" : 189, 
  "Speed" : "",
  "Alignments" : ["9_CM"],
  "Legendary" : ""},
"Gelée ocre": {
  "Name" : "Gelée ocre",
  "VO" : "Ochre Jelly",
  "Family" : "MUD",
  "Species" : [""],
  "FP" : "2", 
  "Size" : "G",
  "AC" : 8,
  "HP" : 45, 
  "Speed" : "",
  "Alignments" : [],
  "Legendary" : ""},
"Geryon": {
  "Name" : "Geryon",
  "VO" : "Geryon",
  "Family" : "FIEND",
  "Species" : ["DEVIL"],
  "FP" : "22", 
  "Size" : "TG",
  "AC" : 19,
  "HP" : 300, 
  "Speed" : "vol",
  "Alignments" : ["7_LM"],
  "Legendary" : ""},
"Giff": {
  "Name" : "Giff",
  "VO" : "Giff",
  "Family" : "HUMANOID",
  "Species" : [""],
  "FP" : "3", 
  "Size" : "M",
  "AC" : 16,
  "HP" : 60, 
  "Speed" : "",
  "Alignments" : ["4_LN"],
  "Legendary" : ""},
"Girallon": {
  "Name" : "Girallon",
  "VO" : "Girallon",
  "Family" : "MONSTROUS_CREATURE",
  "Species" : [""],
  "FP" : "4", 
  "Size" : "G",
  "AC" : 13,
  "HP" : 59, 
  "Speed" : "",
  "Alignments" : [],
  "Legendary" : ""},
"Githyanki, chevalier": {
  "Name" : "Githyanki, chevalier",
  "VO" : "Githyanki Knight",
  "Family" : "HUMANOID",
  "Species" : ["GITH"],
  "FP" : "8", 
  "Size" : "M",
  "AC" : 18,
  "HP" : 91, 
  "Speed" : "",
  "Alignments" : ["7_LM"],
  "Legendary" : ""},
"Githyanki, commandant suprême": {
  "Name" : "Githyanki, commandant suprême",
  "VO" : "Githyanki Supreme Commander",
  "Family" : "HUMANOID",
  "Species" : ["GITH"],
  "FP" : "14", 
  "Size" : "M",
  "AC" : 18,
  "HP" : 187, 
  "Speed" : "",
  "Alignments" : ["7_LM"],
  "Legendary" : ""},
"Githyanki, gish": {
  "Name" : "Githyanki, gish",
  "VO" : "Githyanki Gish",
  "Family" : "HUMANOID",
  "Species" : ["GITH"],
  "FP" : "10", 
  "Size" : "M",
  "AC" : 17,
  "HP" : 123, 
  "Speed" : "",
  "Alignments" : ["7_LM"],
  "Legendary" : ""},
"Githyanki, guerrier": {
  "Name" : "Githyanki, guerrier",
  "VO" : "Githyanki Warrior",
  "Family" : "HUMANOID",
  "Species" : ["GITH"],
  "FP" : "3", 
  "Size" : "M",
  "AC" : 17,
  "HP" : 49, 
  "Speed" : "",
  "Alignments" : ["7_LM"],
  "Legendary" : ""},
"Githyanki, kith' rak": {
  "Name" : "Githyanki, kith' rak",
  "VO" : "Githyanki Kith' Rak",
  "Family" : "HUMANOID",
  "Species" : ["GITH"],
  "FP" : "12", 
  "Size" : "M",
  "AC" : 18,
  "HP" : 180, 
  "Speed" : "",
  "Alignments" : ["7_LM"],
  "Legendary" : ""},
"Githzerai, anarque": {
  "Name" : "Githzerai, anarque",
  "VO" : "Githzerai Anarch",
  "Family" : "HUMANOID",
  "Species" : ["GITH"],
  "FP" : "16", 
  "Size" : "M",
  "AC" : 20,
  "HP" : 144, 
  "Speed" : "vol",
  "Alignments" : ["4_LN"],
  "Legendary" : ""},
"Githzerai, éclairé": {
  "Name" : "Githzerai, éclairé",
  "VO" : "Githzerai Enlightned",
  "Family" : "HUMANOID",
  "Species" : ["GITH"],
  "FP" : "10", 
  "Size" : "M",
  "AC" : 18,
  "HP" : 112, 
  "Speed" : "",
  "Alignments" : ["4_LN"],
  "Legendary" : ""},
"Githzerai, moine": {
  "Name" : "Githzerai, moine",
  "VO" : "Githzerai Monk",
  "Family" : "HUMANOID",
  "Species" : ["GITH"],
  "FP" : "2", 
  "Size" : "M",
  "AC" : 14,
  "HP" : 38, 
  "Speed" : "",
  "Alignments" : ["4_LN"],
  "Legendary" : ""},
"Githzerai, zerth": {
  "Name" : "Githzerai, zerth",
  "VO" : "Githzerai Zerth",
  "Family" : "HUMANOID",
  "Species" : ["GITH"],
  "FP" : "6", 
  "Size" : "M",
  "AC" : 17,
  "HP" : 84, 
  "Speed" : "",
  "Alignments" : ["4_LN"],
  "Legendary" : ""},
"Glabrezu": {
  "Name" : "Glabrezu",
  "VO" : "Glabrezu",
  "Family" : "FIEND",
  "Species" : ["DAEMON"],
  "FP" : "9", 
  "Size" : "G",
  "AC" : 17,
  "HP" : 157, 
  "Speed" : "",
  "Alignments" : ["9_CM"],
  "Legendary" : ""},
"Gladiateur": {
  "Name" : "Gladiateur",
  "VO" : "Gladiator",
  "Family" : "HUMANOID",
  "Species" : [""],
  "FP" : "5", 
  "Size" : "M",
  "AC" : 16,
  "HP" : 112, 
  "Speed" : "",
  "Alignments" : ["1_LB", "2_NB", "3_CB", "4_LN", "5_NN", "6_CN", "7_LM", "8_NM", "9_CM"],
  "Legendary" : ""},
"Gnoll": {
  "Name" : "Gnoll",
  "VO" : "Gnoll",
  "Family" : "HUMANOID",
  "Species" : ["GNOLL"],
  "FP" : "1/2", 
  "Size" : "M",
  "AC" : 15,
  "HP" : 22, 
  "Speed" : "",
  "Alignments" : ["9_CM"],
  "Legendary" : ""},
"Gnoll, chasseur": {
  "Name" : "Gnoll, chasseur",
  "VO" : "Gnoll Hunter",
  "Family" : "HUMANOID",
  "Species" : ["GNOLL"],
  "FP" : "1/2", 
  "Size" : "M",
  "AC" : 13,
  "HP" : 22, 
  "Speed" : "",
  "Alignments" : ["9_CM"],
  "Legendary" : ""},
"Gnoll, croc de Yeenoghu": {
  "Name" : "Gnoll, croc de Yeenoghu",
  "VO" : "Gnoll Fang of Yeenoghu",
  "Family" : "FIEND",
  "Species" : ["GNOLL"],
  "FP" : "4", 
  "Size" : "M",
  "AC" : 14,
  "HP" : 65, 
  "Speed" : "",
  "Alignments" : ["9_CM"],
  "Legendary" : ""},
"Gnoll, décrépit": {
  "Name" : "Gnoll, décrépit",
  "VO" : "Gnoll Witherling",
  "Family" : "UNDEAD",
  "Species" : [""],
  "FP" : "1/4", 
  "Size" : "M",
  "AC" : 12,
  "HP" : 11, 
  "Speed" : "",
  "Alignments" : ["9_CM"],
  "Legendary" : ""},
"Gnoll, rongeur de chair": {
  "Name" : "Gnoll, rongeur de chair",
  "VO" : "Gnoll Flesh Gnawer",
  "Family" : "HUMANOID",
  "Species" : ["GNOLL"],
  "FP" : "1", 
  "Size" : "M",
  "AC" : 14,
  "HP" : 22, 
  "Speed" : "",
  "Alignments" : ["9_CM"],
  "Legendary" : ""},
"Gnoll, seigneur de meute": {
  "Name" : "Gnoll, seigneur de meute",
  "VO" : "Gnoll Pack Lord",
  "Family" : "HUMANOID",
  "Species" : ["GNOLL"],
  "FP" : "2", 
  "Size" : "M",
  "AC" : 15,
  "HP" : 49, 
  "Speed" : "",
  "Alignments" : ["9_CM"],
  "Legendary" : ""},
"Gnome des profondeurs (svirfnebelin)": {
  "Name" : "Gnome des profondeurs (svirfnebelin)",
  "VO" : "Deep Gnome (Svirfneblin)",
  "Family" : "HUMANOID",
  "Species" : ["GNOME"],
  "FP" : "1/2", 
  "Size" : "P",
  "AC" : 15,
  "HP" : 16, 
  "Speed" : "",
  "Alignments" : ["2_NB"],
  "Legendary" : ""},
"Gobelin": {
  "Name" : "Gobelin",
  "VO" : "Goblin",
  "Family" : "HUMANOID",
  "Species" : ["GOBELINOID"],
  "FP" : "1/4", 
  "Size" : "P",
  "AC" : 15,
  "HP" : 7, 
  "Speed" : "",
  "Alignments" : ["8_NM"],
  "Legendary" : ""},
"Gobelin, chef": {
  "Name" : "Gobelin, chef",
  "VO" : "Goblin Boss",
  "Family" : "HUMANOID",
  "Species" : ["GOBELINOID"],
  "FP" : "1", 
  "Size" : "P",
  "AC" : 17,
  "HP" : 21, 
  "Speed" : "",
  "Alignments" : ["8_NM"],
  "Legendary" : ""},
"Gobelours": {
  "Name" : "Gobelours",
  "VO" : "Bugbear",
  "Family" : "HUMANOID",
  "Species" : ["GOBELINOID"],
  "FP" : "1", 
  "Size" : "M",
  "AC" : 16,
  "HP" : 27, 
  "Speed" : "",
  "Alignments" : ["9_CM"],
  "Legendary" : ""},
"Gobelours, chef": {
  "Name" : "Gobelours, chef",
  "VO" : "Bugbear Chief",
  "Family" : "HUMANOID",
  "Species" : ["GOBELINOID"],
  "FP" : "3", 
  "Size" : "M",
  "AC" : 17,
  "HP" : 65, 
  "Speed" : "",
  "Alignments" : ["9_CM"],
  "Legendary" : ""},
"Golem d'argile": {
  "Name" : "Golem d'argile",
  "VO" : "Clay Golem",
  "Family" : "ARTIFICIAL_CREATURE",
  "Species" : [""],
  "FP" : "9", 
  "Size" : "G",
  "AC" : 14,
  "HP" : 133, 
  "Speed" : "",
  "Alignments" : [],
  "Legendary" : ""},
"Golem de bois": {
  "Name" : "Golem de bois",
  "VO" : "Wood Golem",
  "Family" : "ARTIFICIAL_CREATURE",
  "Species" : [""],
  "FP" : "2", 
  "Size" : "M",
  "AC" : 14,
  "HP" : 61, 
  "Speed" : "",
  "Alignments" : [],
  "Legendary" : ""},
"Golem de bronze": {
  "Name" : "Golem de bronze",
  "VO" : "Bronze Golem",
  "Family" : "ARTIFICIAL_CREATURE",
  "Species" : [""],
  "FP" : "13", 
  "Size" : "G",
  "AC" : 19,
  "HP" : 147, 
  "Speed" : "",
  "Alignments" : [],
  "Legendary" : ""},
"Golem de chair": {
  "Name" : "Golem de chair",
  "VO" : "Flesh Golem",
  "Family" : "ARTIFICIAL_CREATURE",
  "Species" : [""],
  "FP" : "5", 
  "Size" : "M",
  "AC" : 9,
  "HP" : 93, 
  "Speed" : "",
  "Alignments" : ["5_NN"],
  "Legendary" : ""},
"Golem de fer": {
  "Name" : "Golem de fer",
  "VO" : "Iron Golem",
  "Family" : "ARTIFICIAL_CREATURE",
  "Species" : [""],
  "FP" : "16", 
  "Size" : "G",
  "AC" : 20,
  "HP" : 210, 
  "Speed" : "",
  "Alignments" : [],
  "Legendary" : ""},
"Golem de glace": {
  "Name" : "Golem de glace",
  "VO" : "Ice Golem",
  "Family" : "ARTIFICIAL_CREATURE",
  "Species" : [""],
  "FP" : "9", 
  "Size" : "G",
  "AC" : 16,
  "HP" : 126, 
  "Speed" : "",
  "Alignments" : [],
  "Legendary" : ""},
"Golem de pierre": {
  "Name" : "Golem de pierre",
  "VO" : "Stone Golem",
  "Family" : "ARTIFICIAL_CREATURE",
  "Species" : [""],
  "FP" : "10", 
  "Size" : "G",
  "AC" : 17,
  "HP" : 178, 
  "Speed" : "",
  "Alignments" : [],
  "Legendary" : ""},
"Gorgone": {
  "Name" : "Gorgone",
  "VO" : "Gorgon",
  "Family" : "MONSTROUS_CREATURE",
  "Species" : [""],
  "FP" : "5", 
  "Size" : "G",
  "AC" : 19,
  "HP" : 114, 
  "Speed" : "",
  "Alignments" : [],
  "Legendary" : ""},
"Goristro": {
  "Name" : "Goristro",
  "VO" : "Goristro",
  "Family" : "FIEND",
  "Species" : ["DAEMON"],
  "FP" : "17", 
  "Size" : "TG",
  "AC" : 19,
  "HP" : 310, 
  "Speed" : "",
  "Alignments" : ["9_CM"],
  "Legendary" : ""},
"Gosier de Grolantor": {
  "Name" : "Gosier de Grolantor",
  "VO" : "Mouth of Grolantor",
  "Family" : "GIANT",
  "Species" : ["GIANT_HILLS"],
  "FP" : "6", 
  "Size" : "TG",
  "AC" : 14,
  "HP" : 105, 
  "Speed" : "",
  "Alignments" : ["9_CM"],
  "Legendary" : ""},
"Goule": {
  "Name" : "Goule",
  "VO" : "Ghoul",
  "Family" : "UNDEAD",
  "Species" : [""],
  "FP" : "1", 
  "Size" : "M",
  "AC" : 12,
  "HP" : 22, 
  "Speed" : "",
  "Alignments" : ["9_CM"],
  "Legendary" : ""},
"Grand singe": {
  "Name" : "Grand singe",
  "VO" : "Ape",
  "Family" : "BEAST",
  "Species" : [""],
  "FP" : "1/2", 
  "Size" : "M",
  "AC" : 12,
  "HP" : 19, 
  "Speed" : "",
  "Alignments" : [],
  "Legendary" : ""},
"Graz'zt": {
  "Name" : "Graz'zt",
  "VO" : "Graz'zt",
  "Family" : "FIEND",
  "Species" : ["DAEMON", "METAMORPH"],
  "FP" : "24", 
  "Size" : "G",
  "AC" : 20,
  "HP" : 346, 
  "Speed" : "",
  "Alignments" : ["9_CM"],
  "Legendary" : ""},
"Grell": {
  "Name" : "Grell",
  "VO" : "Grell",
  "Family" : "ABERRATION",
  "Species" : [""],
  "FP" : "3", 
  "Size" : "M",
  "AC" : 12,
  "HP" : 55, 
  "Speed" : "vol",
  "Alignments" : ["8_NM"],
  "Legendary" : ""},
"Grenouille": {
  "Name" : "Grenouille",
  "VO" : "Frog",
  "Family" : "BEAST",
  "Species" : [""],
  "FP" : "0", 
  "Size" : "TP",
  "AC" : 11,
  "HP" : 1, 
  "Speed" : "nage",
  "Alignments" : [],
  "Legendary" : ""},
"Grenouille géante": {
  "Name" : "Grenouille géante",
  "VO" : "Giant Frog",
  "Family" : "BEAST",
  "Species" : [""],
  "FP" : "1/4", 
  "Size" : "M",
  "AC" : 11,
  "HP" : 18, 
  "Speed" : "nage",
  "Alignments" : [],
  "Legendary" : ""},
"Grick": {
  "Name" : "Grick",
  "VO" : "Grick",
  "Family" : "MONSTROUS_CREATURE",
  "Species" : [""],
  "FP" : "2", 
  "Size" : "M",
  "AC" : 14,
  "HP" : 27, 
  "Speed" : "",
  "Alignments" : ["5_NN"],
  "Legendary" : ""},
"Grick dominant": {
  "Name" : "Grick dominant",
  "VO" : "Grick alpha",
  "Family" : "MONSTROUS_CREATURE",
  "Species" : [""],
  "FP" : "7", 
  "Size" : "G",
  "AC" : 18,
  "HP" : 75, 
  "Speed" : "",
  "Alignments" : ["5_NN"],
  "Legendary" : ""},
"Griffe rampante": {
  "Name" : "Griffe rampante",
  "VO" : "Crawling Claw",
  "Family" : "UNDEAD",
  "Species" : [""],
  "FP" : "0", 
  "Size" : "TP",
  "AC" : 12,
  "HP" : 2, 
  "Speed" : "",
  "Alignments" : ["8_NM"],
  "Legendary" : ""},
"Griffecendre": {
  "Name" : "Griffecendre",
  "VO" : "Boneclaw",
  "Family" : "UNDEAD",
  "Species" : [""],
  "FP" : "12", 
  "Size" : "G",
  "AC" : 16,
  "HP" : 127, 
  "Speed" : "",
  "Alignments" : ["9_CM"],
  "Legendary" : ""},
"Griffon": {
  "Name" : "Griffon",
  "VO" : "Griffon",
  "Family" : "MONSTROUS_CREATURE",
  "Species" : [""],
  "FP" : "2", 
  "Size" : "G",
  "AC" : 12,
  "HP" : 59, 
  "Speed" : "vol",
  "Alignments" : [],
  "Legendary" : ""},
"Grung": {
  "Name" : "Grung",
  "VO" : "Grung",
  "Family" : "HUMANOID",
  "Species" : ["GRUNG"],
  "FP" : "1/4", 
  "Size" : "P",
  "AC" : 12,
  "HP" : 11, 
  "Speed" : "",
  "Alignments" : ["7_LM"],
  "Legendary" : ""},
"Grung, guerrier d'élite": {
  "Name" : "Grung, guerrier d'élite",
  "VO" : "Grung Elite Warrior",
  "Family" : "HUMANOID",
  "Species" : ["GRUNG"],
  "FP" : "2", 
  "Size" : "P",
  "AC" : 13,
  "HP" : 49, 
  "Speed" : "",
  "Alignments" : ["7_LM"],
  "Legendary" : ""},
"Grung, sauvage": {
  "Name" : "Grung, sauvage",
  "VO" : "Grung Wildling",
  "Family" : "HUMANOID",
  "Species" : ["GRUNG"],
  "FP" : "1", 
  "Size" : "P",
  "AC" : 13,
  "HP" : 27, 
  "Speed" : "",
  "Alignments" : ["7_LM"],
  "Legendary" : ""},
"Guenaude annis": {
  "Name" : "Guenaude annis",
  "VO" : "Annis Hag",
  "Family" : "FAIRY",
  "Species" : [""],
  "FP" : "6", 
  "Size" : "G",
  "AC" : 17,
  "HP" : 75, 
  "Speed" : "",
  "Alignments" : ["9_CM"],
  "Legendary" : ""},
"Guenaude aquatique": {
  "Name" : "Guenaude aquatique",
  "VO" : "Sea Hag",
  "Family" : "FAIRY",
  "Species" : [""],
  "FP" : "2", 
  "Size" : "M",
  "AC" : 14,
  "HP" : 52, 
  "Speed" : "nage",
  "Alignments" : ["9_CM"],
  "Legendary" : ""},
"Guenaude frige": {
  "Name" : "Guenaude frige",
  "VO" : "Bheur hag",
  "Family" : "FAIRY",
  "Species" : [""],
  "FP" : "7", 
  "Size" : "M",
  "AC" : 17,
  "HP" : 91, 
  "Speed" : "",
  "Alignments" : ["9_CM"],
  "Legendary" : ""},
"Guenaude nocturne": {
  "Name" : "Guenaude nocturne",
  "VO" : "Night Hag",
  "Family" : "FIEND",
  "Species" : [""],
  "FP" : "5", 
  "Size" : "M",
  "AC" : 17,
  "HP" : 112, 
  "Speed" : "",
  "Alignments" : ["8_NM"],
  "Legendary" : ""},
"Guenaude verte": {
  "Name" : "Guenaude verte",
  "VO" : "Green Hag",
  "Family" : "FAIRY",
  "Species" : [""],
  "FP" : "3", 
  "Size" : "M",
  "AC" : 17,
  "HP" : 82, 
  "Speed" : "",
  "Alignments" : ["8_NM"],
  "Legendary" : ""},
"Guenaude visionnaire": {
  "Name" : "Guenaude visionnaire",
  "VO" : "Dusk Hag",
  "Family" : "FAIRY",
  "Species" : [""],
  "FP" : "6", 
  "Size" : "M",
  "AC" : 17,
  "HP" : 82, 
  "Speed" : "",
  "Alignments" : ["8_NM"],
  "Legendary" : ""},
"Guêpe géante": {
  "Name" : "Guêpe géante",
  "VO" : "Giant Wasp",
  "Family" : "BEAST",
  "Species" : [""],
  "FP" : "1/2", 
  "Size" : "M",
  "AC" : 12,
  "HP" : 13, 
  "Speed" : "vol",
  "Alignments" : [],
  "Legendary" : ""},
"Guêpe infernale": {
  "Name" : "Guêpe infernale",
  "VO" : "Hellwasp",
  "Family" : "FIEND",
  "Species" : [""],
  "FP" : "5", 
  "Size" : "G",
  "AC" : 19,
  "HP" : 52, 
  "Speed" : "vol",
  "Alignments" : ["7_LM"],
  "Legendary" : ""},
"Guerrier momifié": {
  "Name" : "Guerrier momifié",
  "VO" : "Mummified Warrior",
  "Family" : "UNDEAD",
  "Species" : [""],
  "FP" : "1/4", 
  "Size" : "M",
  "AC" : 8,
  "HP" : 19, 
  "Speed" : "",
  "Alignments" : ["5_NN"],
  "Legendary" : ""},
"Guerrier tribal": {
  "Name" : "Guerrier tribal",
  "VO" : "Tribal Warrior",
  "Family" : "HUMANOID",
  "Species" : [""],
  "FP" : "1/8", 
  "Size" : "M",
  "AC" : 12,
  "HP" : 11, 
  "Speed" : "",
  "Alignments" : ["1_LB", "2_NB", "3_CB", "4_LN", "5_NN", "6_CN", "7_LM", "8_NM", "9_CM"],
  "Legendary" : ""},
"Gynosphinx": {
  "Name" : "Gynosphinx",
  "VO" : "Gynosphinx",
  "Family" : "MONSTROUS_CREATURE",
  "Species" : [""],
  "FP" : "11", 
  "Size" : "G",
  "AC" : 17,
  "HP" : 136, 
  "Speed" : "vol",
  "Alignments" : ["4_LN"],
  "Legendary" : "Légendaire"},
"Halaster Blackcloak": {
  "Name" : "Halaster Blackcloak",
  "VO" : "Halaster Blackcloak",
  "Family" : "HUMANOID",
  "Species" : ["HUMAN"],
  "FP" : "23", 
  "Size" : "M",
  "AC" : 14,
  "HP" : 246, 
  "Speed" : "",
  "Alignments" : ["9_CM"],
  "Legendary" : ""}</v>
      </c>
    </row>
    <row r="827" spans="1:16">
      <c r="N827" s="297"/>
      <c r="P827" t="str">
        <f>CONCATENATE(",
",P401,",
",P402,",
",P403,",
",P404,",
",P405,",
",P406,",
",P407,",
",P408,",
",P409,",
",P410,",
",P411,",
",P412,",
",P413,",
",P414,",
",P415,",
",P416,",
",P417,",
",P418,",
",P419,",
",P420,",
",P421,",
",P422,",
",P423,",
",P424,",
",P425,",
",P426,",
",P427,",
",P428,",
",P429,",
",P430,",
",P431,",
",P432,",
",P433,",
",P434,",
",P435,",
",P436,",
",P437,",
",P438,",
",P439,",
",P440,",
",P441,",
",P442,",
",P443,",
",P444,",
",P445,",
",P446,",
",P447,",
",P448,",
",P449,",
",P450,",
",P451,",
",P452,",
",P453,",
",P454,",
",P455,",
",P456,",
",P457,",
",P458,",
",P459,",
",P460,",
",P461,",
",P462,",
",P463,",
",P464,",
",P465,",
",P466,",
",P467,",
",P468,",
",P469,",
",P470,",
",P471,",
",P472,",
",P473,",
",P474,",
",P475,",
",P476,",
",P477,",
",P478,",
",P479,",
",P480,",
",P481,",
",P482,",
",P483,",
",P484,",
",P485,",
",P486,",
",P487,",
",P488,",
",P489,",
",P490,",
",P491,",
",P492,",
",P493,",
",P494,",
",P495,",
",P496,",
",P497,",
",P498,",
",P499,",
",P500)</f>
        <v>,
"Harpie": {
  "Name" : "Harpie",
  "VO" : "Harpy",
  "Family" : "MONSTROUS_CREATURE",
  "Species" : [""],
  "FP" : "1", 
  "Size" : "M",
  "AC" : 11,
  "HP" : 38, 
  "Speed" : "vol",
  "Alignments" : ["9_CM"],
  "Legendary" : ""},
"Hezrou": {
  "Name" : "Hezrou",
  "VO" : "Hezrou",
  "Family" : "FIEND",
  "Species" : ["DAEMON"],
  "FP" : "8", 
  "Size" : "G",
  "AC" : 16,
  "HP" : 136, 
  "Speed" : "",
  "Alignments" : ["9_CM"],
  "Legendary" : ""},
"Hippocampe": {
  "Name" : "Hippocampe",
  "VO" : "Sea Horse",
  "Family" : "BEAST",
  "Species" : [""],
  "FP" : "0", 
  "Size" : "TP",
  "AC" : 11,
  "HP" : 1, 
  "Speed" : "nage",
  "Alignments" : [],
  "Legendary" : ""},
"Hippocampe géant": {
  "Name" : "Hippocampe géant",
  "VO" : "Giant Sea Horse",
  "Family" : "BEAST",
  "Species" : [""],
  "FP" : "1/2", 
  "Size" : "G",
  "AC" : 13,
  "HP" : 16, 
  "Speed" : "nage",
  "Alignments" : [],
  "Legendary" : ""},
"Hippogriffe": {
  "Name" : "Hippogriffe",
  "VO" : "Hippogriff",
  "Family" : "MONSTROUS_CREATURE",
  "Species" : [""],
  "FP" : "1", 
  "Size" : "G",
  "AC" : 11,
  "HP" : 19, 
  "Speed" : "vol",
  "Alignments" : [],
  "Legendary" : ""},
"Hobgobelin": {
  "Name" : "Hobgobelin",
  "VO" : "Hobgoblin",
  "Family" : "HUMANOID",
  "Species" : ["GOBELINOID"],
  "FP" : "1/2", 
  "Size" : "M",
  "AC" : 18,
  "HP" : 11, 
  "Speed" : "",
  "Alignments" : ["7_LM"],
  "Legendary" : ""},
"Hobgobelin, capitaine": {
  "Name" : "Hobgobelin, capitaine",
  "VO" : "Hobgoblin Captain",
  "Family" : "HUMANOID",
  "Species" : ["GOBELINOID"],
  "FP" : "3", 
  "Size" : "M",
  "AC" : 17,
  "HP" : 39, 
  "Speed" : "",
  "Alignments" : ["7_LM"],
  "Legendary" : ""},
"Hobgobelin, ombre de fer": {
  "Name" : "Hobgobelin, ombre de fer",
  "VO" : "Hobgoblin Iron Shadow",
  "Family" : "HUMANOID",
  "Species" : ["GOBELINOID"],
  "FP" : "2", 
  "Size" : "M",
  "AC" : 15,
  "HP" : 32, 
  "Speed" : "",
  "Alignments" : ["7_LM"],
  "Legendary" : ""},
"Hobgobelin, ravageur": {
  "Name" : "Hobgobelin, ravageur",
  "VO" : "Hobgoblin Devastator",
  "Family" : "HUMANOID",
  "Species" : ["GOBELINOID"],
  "FP" : "4", 
  "Size" : "M",
  "AC" : 13,
  "HP" : 45, 
  "Speed" : "",
  "Alignments" : ["7_LM"],
  "Legendary" : ""},
"Hobgobelin, seigneur de guerre": {
  "Name" : "Hobgobelin, seigneur de guerre",
  "VO" : "Hobgoblin Warlord",
  "Family" : "HUMANOID",
  "Species" : ["GOBELINOID"],
  "FP" : "6", 
  "Size" : "M",
  "AC" : 20,
  "HP" : 97, 
  "Speed" : "",
  "Alignments" : ["7_LM"],
  "Legendary" : ""},
"Homme-lézard": {
  "Name" : "Homme-lézard",
  "VO" : "Lizardfolk",
  "Family" : "HUMANOID",
  "Species" : ["LIZARD_MAN"],
  "FP" : "1/2", 
  "Size" : "M",
  "AC" : 15,
  "HP" : 22, 
  "Speed" : "nage",
  "Alignments" : ["5_NN"],
  "Legendary" : ""},
"Homme-lézard, chaman": {
  "Name" : "Homme-lézard, chaman",
  "VO" : "Lizardfolk Shaman",
  "Family" : "HUMANOID",
  "Species" : ["LIZARD_MAN"],
  "FP" : "2", 
  "Size" : "M",
  "AC" : 13,
  "HP" : 27, 
  "Speed" : "nage",
  "Alignments" : ["5_NN"],
  "Legendary" : ""},
"Homme-poisson": {
  "Name" : "Homme-poisson",
  "VO" : "Merfolk",
  "Family" : "HUMANOID",
  "Species" : ["FISH_MAN"],
  "FP" : "1/8", 
  "Size" : "M",
  "AC" : 11,
  "HP" : 11, 
  "Speed" : "nage",
  "Alignments" : ["5_NN"],
  "Legendary" : ""},
"Homoncule": {
  "Name" : "Homoncule",
  "VO" : "Homunculus",
  "Family" : "ARTIFICIAL_CREATURE",
  "Species" : [""],
  "FP" : "0", 
  "Size" : "TP",
  "AC" : 13,
  "HP" : 5, 
  "Speed" : "vol",
  "Alignments" : ["5_NN"],
  "Legendary" : ""},
"Horreur casquée": {
  "Name" : "Horreur casquée",
  "VO" : "Helmed Horror",
  "Family" : "ARTIFICIAL_CREATURE",
  "Species" : [""],
  "FP" : "4", 
  "Size" : "M",
  "AC" : 20,
  "HP" : 60, 
  "Speed" : "vol",
  "Alignments" : ["5_NN"],
  "Legendary" : ""},
"Horreur chasseresse": {
  "Name" : "Horreur chasseresse",
  "VO" : "Retriever",
  "Family" : "ARTIFICIAL_CREATURE",
  "Species" : [""],
  "FP" : "14", 
  "Size" : "G",
  "AC" : 19,
  "HP" : 210, 
  "Speed" : "",
  "Alignments" : ["7_LM"],
  "Legendary" : ""},
"Horreur crochue": {
  "Name" : "Horreur crochue",
  "VO" : "Hook Horror",
  "Family" : "MONSTROUS_CREATURE",
  "Species" : [""],
  "FP" : "3", 
  "Size" : "G",
  "AC" : 15,
  "HP" : 75, 
  "Speed" : "",
  "Alignments" : ["5_NN"],
  "Legendary" : ""},
"Huldin": {
  "Name" : "Huldin",
  "VO" : "Huldin",
  "Family" : "HUMANOID",
  "Species" : ["HUMAN"],
  "FP" : "5", 
  "Size" : "M",
  "AC" : 18,
  "HP" : 112, 
  "Speed" : "",
  "Alignments" : ["7_LM"],
  "Legendary" : ""},
"Hurleur": {
  "Name" : "Hurleur",
  "VO" : "Howler",
  "Family" : "FIEND",
  "Species" : [""],
  "FP" : "8", 
  "Size" : "G",
  "AC" : 16,
  "HP" : 90, 
  "Speed" : "",
  "Alignments" : ["9_CM"],
  "Legendary" : ""},
"Hutijin": {
  "Name" : "Hutijin",
  "VO" : "Hutijin",
  "Family" : "FIEND",
  "Species" : ["DEVIL"],
  "FP" : "21", 
  "Size" : "G",
  "AC" : 19,
  "HP" : 200, 
  "Speed" : "vol",
  "Alignments" : ["7_LM"],
  "Legendary" : ""},
"Hydre": {
  "Name" : "Hydre",
  "VO" : "Hydra",
  "Family" : "MONSTROUS_CREATURE",
  "Species" : [""],
  "FP" : "8", 
  "Size" : "TG",
  "AC" : 15,
  "HP" : 172, 
  "Speed" : "nage",
  "Alignments" : [],
  "Legendary" : ""},
"Hydroloth": {
  "Name" : "Hydroloth",
  "VO" : "Hydroloth",
  "Family" : "FIEND",
  "Species" : ["YUGOLOTH"],
  "FP" : "9", 
  "Size" : "M",
  "AC" : 15,
  "HP" : 135, 
  "Speed" : "nage",
  "Alignments" : ["8_NM"],
  "Legendary" : ""},
"Hyène": {
  "Name" : "Hyène",
  "VO" : "Hyena",
  "Family" : "BEAST",
  "Species" : [""],
  "FP" : "0", 
  "Size" : "M",
  "AC" : 11,
  "HP" : 5, 
  "Speed" : "",
  "Alignments" : [],
  "Legendary" : ""},
"Hyène géante": {
  "Name" : "Hyène géante",
  "VO" : "Giant Hyena",
  "Family" : "BEAST",
  "Species" : [""],
  "FP" : "1", 
  "Size" : "G",
  "AC" : 12,
  "HP" : 45, 
  "Speed" : "",
  "Alignments" : [],
  "Legendary" : ""},
"Illusionniste": {
  "Name" : "Illusionniste",
  "VO" : "Illusionist",
  "Family" : "HUMANOID",
  "Species" : [""],
  "FP" : "3", 
  "Size" : "M",
  "AC" : 12,
  "HP" : 38, 
  "Speed" : "",
  "Alignments" : ["1_LB", "2_NB", "3_CB", "4_LN", "5_NN", "6_CN", "7_LM", "8_NM", "9_CM"],
  "Legendary" : ""},
"Inspiré": {
  "Name" : "Inspiré",
  "VO" : "Inspired",
  "Family" : "HUMANOID",
  "Species" : ["HUMAN"],
  "FP" : "2", 
  "Size" : "M",
  "AC" : 12,
  "HP" : 40, 
  "Speed" : "",
  "Alignments" : ["7_LM"],
  "Legendary" : ""},
"Invocateur": {
  "Name" : "Invocateur",
  "VO" : "Conjurer",
  "Family" : "HUMANOID",
  "Species" : [""],
  "FP" : "6", 
  "Size" : "M",
  "AC" : 12,
  "HP" : 40, 
  "Speed" : "",
  "Alignments" : ["1_LB", "2_NB", "3_CB", "4_LN", "5_NN", "6_CN", "7_LM", "8_NM", "9_CM"],
  "Legendary" : ""},
"Jarlaxle Baenre": {
  "Name" : "Jarlaxle Baenre",
  "VO" : "Jarlaxle Baenre",
  "Family" : "HUMANOID",
  "Species" : ["ELF"],
  "FP" : "15", 
  "Size" : "M",
  "AC" : 24,
  "HP" : 123, 
  "Speed" : "",
  "Alignments" : ["6_CN"],
  "Legendary" : ""},
"Juiblex": {
  "Name" : "Juiblex",
  "VO" : "Juiblex",
  "Family" : "FIEND",
  "Species" : ["DAEMON"],
  "FP" : "23", 
  "Size" : "TG",
  "AC" : 18,
  "HP" : 350, 
  "Speed" : "",
  "Alignments" : ["9_CM"],
  "Legendary" : ""},
"Kalashtar": {
  "Name" : "Kalashtar",
  "VO" : "Kalashtar",
  "Family" : "HUMANOID",
  "Species" : ["KALASHTAR"],
  "FP" : "1/4", 
  "Size" : "M",
  "AC" : 12,
  "HP" : 16, 
  "Speed" : "",
  "Alignments" : ["1_LB", "2_NB", "3_CB", "4_LN", "5_NN", "6_CN", "7_LM", "8_NM", "9_CM"],
  "Legendary" : ""},
"Kenku": {
  "Name" : "Kenku",
  "VO" : "Kenku",
  "Family" : "HUMANOID",
  "Species" : ["KENKU"],
  "FP" : "1/4", 
  "Size" : "M",
  "AC" : 13,
  "HP" : 13, 
  "Speed" : "",
  "Alignments" : ["6_CN"],
  "Legendary" : ""},
"Ki-rin": {
  "Name" : "Ki-rin",
  "VO" : "Ki-rin",
  "Family" : "CELESTIAL",
  "Species" : [""],
  "FP" : "12", 
  "Size" : "TG",
  "AC" : 20,
  "HP" : 152, 
  "Speed" : "vol",
  "Alignments" : ["1_LB"],
  "Legendary" : "Légendaire"},
"Kobold": {
  "Name" : "Kobold",
  "VO" : "Kobold",
  "Family" : "HUMANOID",
  "Species" : ["KEBOLD"],
  "FP" : "1/8", 
  "Size" : "P",
  "AC" : 12,
  "HP" : 5, 
  "Speed" : "",
  "Alignments" : ["7_LM"],
  "Legendary" : ""},
"Kobold ailé": {
  "Name" : "Kobold ailé",
  "VO" : "Winged Kobold",
  "Family" : "HUMANOID",
  "Species" : ["KEBOLD"],
  "FP" : "1/4", 
  "Size" : "P",
  "AC" : 13,
  "HP" : 7, 
  "Speed" : "vol",
  "Alignments" : ["7_LM"],
  "Legendary" : ""},
"Kobold, bouclier de dragon": {
  "Name" : "Kobold, bouclier de dragon",
  "VO" : "Kobold Dragonshield",
  "Family" : "HUMANOID",
  "Species" : ["KEBOLD"],
  "FP" : "1", 
  "Size" : "P",
  "AC" : 15,
  "HP" : 44, 
  "Speed" : "",
  "Alignments" : ["7_LM"],
  "Legendary" : ""},
"Kobold, ensorceleur des écailles": {
  "Name" : "Kobold, ensorceleur des écailles",
  "VO" : "Kobold Scale Sorcerer",
  "Family" : "HUMANOID",
  "Species" : ["KEBOLD"],
  "FP" : "1", 
  "Size" : "P",
  "AC" : 15,
  "HP" : 27, 
  "Speed" : "",
  "Alignments" : ["7_LM"],
  "Legendary" : ""},
"Kobold, inventeur": {
  "Name" : "Kobold, inventeur",
  "VO" : "Kobold Inventor",
  "Family" : "HUMANOID",
  "Species" : ["KEBOLD"],
  "FP" : "1/4", 
  "Size" : "P",
  "AC" : 12,
  "HP" : 13, 
  "Speed" : "",
  "Alignments" : ["7_LM"],
  "Legendary" : ""},
"Korred": {
  "Name" : "Korred",
  "VO" : "Korred",
  "Family" : "FAIRY",
  "Species" : [""],
  "FP" : "7", 
  "Size" : "P",
  "AC" : 17,
  "HP" : 102, 
  "Speed" : "",
  "Alignments" : ["6_CN"],
  "Legendary" : ""},
"Kraken": {
  "Name" : "Kraken",
  "VO" : "Kraken",
  "Family" : "MONSTROUS_CREATURE",
  "Species" : ["TITAN"],
  "FP" : "23", 
  "Size" : "Gig",
  "AC" : 18,
  "HP" : 472, 
  "Speed" : "nage",
  "Alignments" : ["9_CM"],
  "Legendary" : "Légendaire"},
"Kruthik, adulte": {
  "Name" : "Kruthik, adulte",
  "VO" : "Adult Kruthik",
  "Family" : "MONSTROUS_CREATURE",
  "Species" : [""],
  "FP" : "2", 
  "Size" : "M",
  "AC" : 18,
  "HP" : 39, 
  "Speed" : "",
  "Alignments" : [],
  "Legendary" : ""},
"Kruthik, jeune": {
  "Name" : "Kruthik, jeune",
  "VO" : "Young Kruthik",
  "Family" : "MONSTROUS_CREATURE",
  "Species" : [""],
  "FP" : "1/8", 
  "Size" : "P",
  "AC" : 16,
  "HP" : 9, 
  "Speed" : "",
  "Alignments" : [],
  "Legendary" : ""},
"Kruthik, seigneur de la ruche": {
  "Name" : "Kruthik, seigneur de la ruche",
  "VO" : "Kruthik Hive Lord",
  "Family" : "MONSTROUS_CREATURE",
  "Species" : [""],
  "FP" : "5", 
  "Size" : "G",
  "AC" : 20,
  "HP" : 102, 
  "Speed" : "",
  "Alignments" : [],
  "Legendary" : ""},
"Kuo-toa": {
  "Name" : "Kuo-toa",
  "VO" : "Kuo-toa",
  "Family" : "HUMANOID",
  "Species" : ["Kuo-toa"],
  "FP" : "1/4", 
  "Size" : "M",
  "AC" : 13,
  "HP" : 18, 
  "Speed" : "nage",
  "Alignments" : ["8_NM"],
  "Legendary" : ""},
"Kuo-toa, archiprêtre": {
  "Name" : "Kuo-toa, archiprêtre",
  "VO" : "Kuo-toa Archpriest",
  "Family" : "HUMANOID",
  "Species" : ["Kuo-toa"],
  "FP" : "6", 
  "Size" : "M",
  "AC" : 13,
  "HP" : 97, 
  "Speed" : "nage",
  "Alignments" : ["8_NM"],
  "Legendary" : ""},
"Kuo-toa, fouet": {
  "Name" : "Kuo-toa, fouet",
  "VO" : "Kuo-toa Whip",
  "Family" : "HUMANOID",
  "Species" : ["Kuo-toa"],
  "FP" : "1", 
  "Size" : "M",
  "AC" : 11,
  "HP" : 65, 
  "Speed" : "nage",
  "Alignments" : ["8_NM"],
  "Legendary" : ""},
"L'abandon": {
  "Name" : "L'abandon",
  "VO" : "The Lost",
  "Family" : "MONSTROUS_CREATURE",
  "Species" : [""],
  "FP" : "7", 
  "Size" : "M",
  "AC" : 15,
  "HP" : 78, 
  "Speed" : "",
  "Alignments" : ["8_NM"],
  "Legendary" : ""},
"La colère": {
  "Name" : "La colère",
  "VO" : "The Angry",
  "Family" : "MONSTROUS_CREATURE",
  "Species" : [""],
  "FP" : "13", 
  "Size" : "M",
  "AC" : 18,
  "HP" : 255, 
  "Speed" : "",
  "Alignments" : ["8_NM"],
  "Legendary" : ""},
"La faim": {
  "Name" : "La faim",
  "VO" : "The Hungry",
  "Family" : "MONSTROUS_CREATURE",
  "Species" : [""],
  "FP" : "11", 
  "Size" : "M",
  "AC" : 17,
  "HP" : 225, 
  "Speed" : "",
  "Alignments" : ["8_NM"],
  "Legendary" : ""},
"La misère": {
  "Name" : "La misère",
  "VO" : "The Wretched",
  "Family" : "MONSTROUS_CREATURE",
  "Species" : [""],
  "FP" : "1/4", 
  "Size" : "P",
  "AC" : 15,
  "HP" : 10, 
  "Speed" : "",
  "Alignments" : ["8_NM"],
  "Legendary" : ""},
"La solitude": {
  "Name" : "La solitude",
  "VO" : "The Lonely",
  "Family" : "MONSTROUS_CREATURE",
  "Species" : [""],
  "FP" : "9", 
  "Size" : "M",
  "AC" : 16,
  "HP" : 112, 
  "Speed" : "",
  "Alignments" : ["8_NM"],
  "Legendary" : ""},
"Laeral Silverhand": {
  "Name" : "Laeral Silverhand",
  "VO" : "Laeral Silverhand",
  "Family" : "HUMANOID",
  "Species" : ["HUMAN"],
  "FP" : "17", 
  "Size" : "M",
  "AC" : 18,
  "HP" : 228, 
  "Speed" : "",
  "Alignments" : ["3_CB"],
  "Legendary" : ""},
"Lame de nuit": {
  "Name" : "Lame de nuit",
  "VO" : "Night Blade",
  "Family" : "HUMANOID",
  "Species" : ["HUMAN"],
  "FP" : "1/4", 
  "Size" : "M",
  "AC" : 12,
  "HP" : 11, 
  "Speed" : "",
  "Alignments" : ["9_CM"],
  "Legendary" : ""},
"Lame en peine, commandant": {
  "Name" : "Lame en peine, commandant",
  "VO" : "Sword Wraith Commander",
  "Family" : "UNDEAD",
  "Species" : [""],
  "FP" : "8", 
  "Size" : "M",
  "AC" : 18,
  "HP" : 127, 
  "Speed" : "",
  "Alignments" : ["7_LM"],
  "Legendary" : ""},
"Lame en peine, guerrier": {
  "Name" : "Lame en peine, guerrier",
  "VO" : "Sword Wraith Warrior",
  "Family" : "UNDEAD",
  "Species" : [""],
  "FP" : "3", 
  "Size" : "M",
  "AC" : 16,
  "HP" : 45, 
  "Speed" : "",
  "Alignments" : ["7_LM"],
  "Legendary" : ""},
"Lamie": {
  "Name" : "Lamie",
  "VO" : "Lamia",
  "Family" : "MONSTROUS_CREATURE",
  "Species" : [""],
  "FP" : "4", 
  "Size" : "G",
  "AC" : 13,
  "HP" : 97, 
  "Speed" : "",
  "Alignments" : ["9_CM"],
  "Legendary" : ""},
"Lanceur de sorts (guérisseur, niv 1)": {
  "Name" : "Lanceur de sorts (guérisseur, niv 1)",
  "VO" : "Spellcaster (healer, lvl 1)",
  "Family" : "HUMANOID",
  "Species" : [""],
  "FP" : "0", 
  "Size" : "M",
  "AC" : 12,
  "HP" : 9, 
  "Speed" : "",
  "Alignments" : ["1_LB", "2_NB", "3_CB", "4_LN", "5_NN", "6_CN", "7_LM", "8_NM", "9_CM"],
  "Legendary" : ""},
"Lanceur de sorts (guérisseur, niv 2)": {
  "Name" : "Lanceur de sorts (guérisseur, niv 2)",
  "VO" : "Spellcaster (healer, lvl 2)",
  "Family" : "HUMANOID",
  "Species" : [""],
  "FP" : "0", 
  "Size" : "M",
  "AC" : 12,
  "HP" : 13, 
  "Speed" : "",
  "Alignments" : ["1_LB", "2_NB", "3_CB", "4_LN", "5_NN", "6_CN", "7_LM", "8_NM", "9_CM"],
  "Legendary" : ""},
"Lanceur de sorts (guérisseur, niv 3)": {
  "Name" : "Lanceur de sorts (guérisseur, niv 3)",
  "VO" : "Spellcaster (healer, lvl 3)",
  "Family" : "HUMANOID",
  "Species" : [""],
  "FP" : "0", 
  "Size" : "M",
  "AC" : 12,
  "HP" : 18, 
  "Speed" : "",
  "Alignments" : ["1_LB", "2_NB", "3_CB", "4_LN", "5_NN", "6_CN", "7_LM", "8_NM", "9_CM"],
  "Legendary" : ""},
"Lanceur de sorts (guérisseur, niv 4)": {
  "Name" : "Lanceur de sorts (guérisseur, niv 4)",
  "VO" : "Spellcaster (healer, lvl 4)",
  "Family" : "HUMANOID",
  "Species" : [""],
  "FP" : "0", 
  "Size" : "M",
  "AC" : 12,
  "HP" : 22, 
  "Speed" : "",
  "Alignments" : ["1_LB", "2_NB", "3_CB", "4_LN", "5_NN", "6_CN", "7_LM", "8_NM", "9_CM"],
  "Legendary" : ""},
"Lanceur de sorts (guérisseur, niv 5)": {
  "Name" : "Lanceur de sorts (guérisseur, niv 5)",
  "VO" : "Spellcaster (healer, lvl 5)",
  "Family" : "HUMANOID",
  "Species" : [""],
  "FP" : "0", 
  "Size" : "M",
  "AC" : 12,
  "HP" : 27, 
  "Speed" : "",
  "Alignments" : ["1_LB", "2_NB", "3_CB", "4_LN", "5_NN", "6_CN", "7_LM", "8_NM", "9_CM"],
  "Legendary" : ""},
"Lanceur de sorts (guérisseur, niv 6)": {
  "Name" : "Lanceur de sorts (guérisseur, niv 6)",
  "VO" : "Spellcaster (healer, lvl 6)",
  "Family" : "HUMANOID",
  "Species" : [""],
  "FP" : "0", 
  "Size" : "M",
  "AC" : 12,
  "HP" : 31, 
  "Speed" : "",
  "Alignments" : ["1_LB", "2_NB", "3_CB", "4_LN", "5_NN", "6_CN", "7_LM", "8_NM", "9_CM"],
  "Legendary" : ""},
"Lanceur de sorts (mage, niv 1)": {
  "Name" : "Lanceur de sorts (mage, niv 1)",
  "VO" : "Spellcaster (mage, lvl 1)",
  "Family" : "HUMANOID",
  "Species" : [""],
  "FP" : "0", 
  "Size" : "M",
  "AC" : 12,
  "HP" : 9, 
  "Speed" : "",
  "Alignments" : ["1_LB", "2_NB", "3_CB", "4_LN", "5_NN", "6_CN", "7_LM", "8_NM", "9_CM"],
  "Legendary" : ""},
"Lanceur de sorts (mage, niv 2)": {
  "Name" : "Lanceur de sorts (mage, niv 2)",
  "VO" : "Spellcaster (mage, lvl 2)",
  "Family" : "HUMANOID",
  "Species" : [""],
  "FP" : "0", 
  "Size" : "M",
  "AC" : 12,
  "HP" : 13, 
  "Speed" : "",
  "Alignments" : ["1_LB", "2_NB", "3_CB", "4_LN", "5_NN", "6_CN", "7_LM", "8_NM", "9_CM"],
  "Legendary" : ""},
"Lanceur de sorts (mage, niv 3)": {
  "Name" : "Lanceur de sorts (mage, niv 3)",
  "VO" : "Spellcaster (mage, lvl 3)",
  "Family" : "HUMANOID",
  "Species" : [""],
  "FP" : "0", 
  "Size" : "M",
  "AC" : 12,
  "HP" : 18, 
  "Speed" : "",
  "Alignments" : ["1_LB", "2_NB", "3_CB", "4_LN", "5_NN", "6_CN", "7_LM", "8_NM", "9_CM"],
  "Legendary" : ""},
"Lanceur de sorts (mage, niv 4)": {
  "Name" : "Lanceur de sorts (mage, niv 4)",
  "VO" : "Spellcaster (mage, lvl 4)",
  "Family" : "HUMANOID",
  "Species" : [""],
  "FP" : "0", 
  "Size" : "M",
  "AC" : 12,
  "HP" : 22, 
  "Speed" : "",
  "Alignments" : ["1_LB", "2_NB", "3_CB", "4_LN", "5_NN", "6_CN", "7_LM", "8_NM", "9_CM"],
  "Legendary" : ""},
"Lanceur de sorts (mage, niv 5)": {
  "Name" : "Lanceur de sorts (mage, niv 5)",
  "VO" : "Spellcaster (mage, lvl 5)",
  "Family" : "HUMANOID",
  "Species" : [""],
  "FP" : "0", 
  "Size" : "M",
  "AC" : 12,
  "HP" : 27, 
  "Speed" : "",
  "Alignments" : ["1_LB", "2_NB", "3_CB", "4_LN", "5_NN", "6_CN", "7_LM", "8_NM", "9_CM"],
  "Legendary" : ""},
"Lanceur de sorts (mage, niv 6)": {
  "Name" : "Lanceur de sorts (mage, niv 6)",
  "VO" : "Spellcaster (mage, lvl 6)",
  "Family" : "HUMANOID",
  "Species" : [""],
  "FP" : "0", 
  "Size" : "M",
  "AC" : 12,
  "HP" : 31, 
  "Speed" : "",
  "Alignments" : ["1_LB", "2_NB", "3_CB", "4_LN", "5_NN", "6_CN", "7_LM", "8_NM", "9_CM"],
  "Legendary" : ""},
"Le seigneur des lames": {
  "Name" : "Le seigneur des lames",
  "VO" : "The Lord of Blades",
  "Family" : "HUMANOID",
  "Species" : ["WARFORGED"],
  "FP" : "18", 
  "Size" : "M",
  "AC" : 19,
  "HP" : 195, 
  "Speed" : "",
  "Alignments" : ["7_LM"],
  "Legendary" : ""},
"Lekhet": {
  "Name" : "Lekhet",
  "VO" : "Lekhet",
  "Family" : "HUMANOID",
  "Species" : ["YUAN_TI"],
  "FP" : "1", 
  "Size" : "M",
  "AC" : 11,
  "HP" : 40, 
  "Speed" : "",
  "Alignments" : ["4_LN"],
  "Legendary" : ""},
"Lémure": {
  "Name" : "Lémure",
  "VO" : "Lemure",
  "Family" : "FIEND",
  "Species" : ["DEVIL"],
  "FP" : "0", 
  "Size" : "M",
  "AC" : 7,
  "HP" : 13, 
  "Speed" : "",
  "Alignments" : ["7_LM"],
  "Legendary" : ""},
"Leucrotta": {
  "Name" : "Leucrotta",
  "VO" : "Leucrotta",
  "Family" : "MONSTROUS_CREATURE",
  "Species" : [""],
  "FP" : "3", 
  "Size" : "G",
  "AC" : 14,
  "HP" : 67, 
  "Speed" : "",
  "Alignments" : ["9_CM"],
  "Legendary" : ""},
"Leviathan": {
  "Name" : "Leviathan",
  "VO" : "Leviathan",
  "Family" : "ELEMENTARY",
  "Species" : [""],
  "FP" : "20", 
  "Size" : "Gig",
  "AC" : 17,
  "HP" : 328, 
  "Speed" : "nage",
  "Alignments" : ["5_NN"],
  "Legendary" : ""},
"Lézard": {
  "Name" : "Lézard",
  "VO" : "Lizard",
  "Family" : "BEAST",
  "Species" : [""],
  "FP" : "0", 
  "Size" : "TP",
  "AC" : 10,
  "HP" : 2, 
  "Speed" : "",
  "Alignments" : [],
  "Legendary" : ""},
"Lézard géant": {
  "Name" : "Lézard géant",
  "VO" : "Giant Lizard",
  "Family" : "BEAST",
  "Species" : [""],
  "FP" : "1/4", 
  "Size" : "G",
  "AC" : 12,
  "HP" : 19, 
  "Speed" : "",
  "Alignments" : [],
  "Legendary" : ""},
"Liane meurtrière": {
  "Name" : "Liane meurtrière",
  "VO" : "Assassin Vine",
  "Family" : "PLANT",
  "Species" : [""],
  "FP" : "3", 
  "Size" : "G",
  "AC" : 13,
  "HP" : 85, 
  "Speed" : "",
  "Alignments" : [],
  "Legendary" : ""},
"Liche": {
  "Name" : "Liche",
  "VO" : "Lich",
  "Family" : "UNDEAD",
  "Species" : [""],
  "FP" : "21", 
  "Size" : "M",
  "AC" : 17,
  "HP" : 135, 
  "Speed" : "",
  "Alignments" : ["7_LM", "8_NM", "9_CM"],
  "Legendary" : "Légendaire"},
"Licorne": {
  "Name" : "Licorne",
  "VO" : "Unicorn",
  "Family" : "CELESTIAL",
  "Species" : [""],
  "FP" : "5", 
  "Size" : "G",
  "AC" : 12,
  "HP" : 67, 
  "Speed" : "",
  "Alignments" : ["1_LB"],
  "Legendary" : "Légendaire"},
"Lierre infecté": {
  "Name" : "Lierre infecté",
  "VO" : "Vine Blight",
  "Family" : "PLANT",
  "Species" : [""],
  "FP" : "1/2", 
  "Size" : "M",
  "AC" : 12,
  "HP" : 26, 
  "Speed" : "",
  "Alignments" : ["8_NM"],
  "Legendary" : ""},
"Lierre musqué jaune": {
  "Name" : "Lierre musqué jaune",
  "VO" : "Yellow musk creeper",
  "Family" : "PLANT",
  "Species" : [""],
  "FP" : "2", 
  "Size" : "M",
  "AC" : 6,
  "HP" : 60, 
  "Speed" : "",
  "Alignments" : [],
  "Legendary" : ""},
"Lion": {
  "Name" : "Lion",
  "VO" : "Lion",
  "Family" : "BEAST",
  "Species" : [""],
  "FP" : "1", 
  "Size" : "G",
  "AC" : 12,
  "HP" : 26, 
  "Speed" : "",
  "Alignments" : [],
  "Legendary" : ""},
"Longues-griffes": {
  "Name" : "Longues-griffes",
  "VO" : "Clawfoot",
  "Family" : "BEAST",
  "Species" : [""],
  "FP" : "1", 
  "Size" : "M",
  "AC" : 13,
  "HP" : 19, 
  "Speed" : "",
  "Alignments" : [],
  "Legendary" : ""},
"Loup": {
  "Name" : "Loup",
  "VO" : "Wolf",
  "Family" : "BEAST",
  "Species" : [""],
  "FP" : "1/4", 
  "Size" : "M",
  "AC" : 13,
  "HP" : 11, 
  "Speed" : "",
  "Alignments" : [],
  "Legendary" : ""},
"Loup arctique": {
  "Name" : "Loup arctique",
  "VO" : "Winter Wolf",
  "Family" : "MONSTROUS_CREATURE",
  "Species" : [""],
  "FP" : "3", 
  "Size" : "G",
  "AC" : 13,
  "HP" : 75, 
  "Speed" : "",
  "Alignments" : ["8_NM"],
  "Legendary" : ""},
"Loup sanguinaire": {
  "Name" : "Loup sanguinaire",
  "VO" : "Dire Wolf",
  "Family" : "BEAST",
  "Species" : [""],
  "FP" : "1", 
  "Size" : "G",
  "AC" : 14,
  "HP" : 37, 
  "Speed" : "",
  "Alignments" : [],
  "Legendary" : ""},
"Loup-garou": {
  "Name" : "Loup-garou",
  "VO" : "Werewolf",
  "Family" : "HUMANOID",
  "Species" : ["HUMAN", "METAMORPH"],
  "FP" : "3", 
  "Size" : "M",
  "AC" : 11,
  "HP" : 58, 
  "Speed" : "",
  "Alignments" : ["9_CM"],
  "Legendary" : ""},
"Machine infernale": {
  "Name" : "Machine infernale",
  "VO" : "Hellfire Engine",
  "Family" : "ARTIFICIAL_CREATURE",
  "Species" : [""],
  "FP" : "16", 
  "Size" : "TG",
  "AC" : 18,
  "HP" : 216, 
  "Speed" : "",
  "Alignments" : ["7_LM"],
  "Legendary" : ""},
"Mage": {
  "Name" : "Mage",
  "VO" : "Mage",
  "Family" : "HUMANOID",
  "Species" : [""],
  "FP" : "6", 
  "Size" : "M",
  "AC" : 12,
  "HP" : 40, 
  "Speed" : "",
  "Alignments" : ["1_LB", "2_NB", "3_CB", "4_LN", "5_NN", "6_CN", "7_LM", "8_NM", "9_CM"],
  "Legendary" : ""},
"Magmatique": {
  "Name" : "Magmatique",
  "VO" : "Magmin",
  "Family" : "ELEMENTARY",
  "Species" : [""],
  "FP" : "1/2", 
  "Size" : "P",
  "AC" : 14,
  "HP" : 9, 
  "Speed" : "",
  "Alignments" : ["6_CN"],
  "Legendary" : ""},
"Mains brûlantes vivantes": {
  "Name" : "Mains brûlantes vivantes",
  "VO" : "Living Burning Hands",
  "Family" : "ARTIFICIAL_CREATURE",
  "Species" : [""],
  "FP" : "1", 
  "Size" : "M",
  "AC" : 15,
  "HP" : 15, 
  "Speed" : "vol",
  "Alignments" : [],
  "Legendary" : ""},
"Maître des âmes": {
  "Name" : "Maître des âmes",
  "VO" : "Master of Souls",
  "Family" : "HUMANOID",
  "Species" : ["HUMAN"],
  "FP" : "4", 
  "Size" : "M",
  "AC" : 12,
  "HP" : 45, 
  "Speed" : "",
  "Alignments" : ["8_NM"],
  "Legendary" : ""},
"Maître voleur": {
  "Name" : "Maître voleur",
  "VO" : "Master Thief",
  "Family" : "HUMANOID",
  "Species" : [""],
  "FP" : "5", 
  "Size" : "M",
  "AC" : 16,
  "HP" : 84, 
  "Speed" : "",
  "Alignments" : ["1_LB", "2_NB", "3_CB", "4_LN", "5_NN", "6_CN", "7_LM", "8_NM", "9_CM"],
  "Legendary" : ""},
"Maldryn": {
  "Name" : "Maldryn",
  "VO" : "Maldryn",
  "Family" : "HUMANOID",
  "Species" : ["HALF-ELF"],
  "FP" : "3", 
  "Size" : "M",
  "AC" : 12,
  "HP" : 31, 
  "Speed" : "",
  "Alignments" : ["8_NM"],
  "Legendary" : ""},
"Malfrat": {
  "Name" : "Malfrat",
  "VO" : "Thug",
  "Family" : "HUMANOID",
  "Species" : [""],
  "FP" : "1/2", 
  "Size" : "M",
  "AC" : 11,
  "HP" : 32, 
  "Speed" : "",
  "Alignments" : ["4_LN", "5_NN", "6_CN", "7_LM", "8_NM", "9_CM"],
  "Legendary" : ""},
"Mammouth": {
  "Name" : "Mammouth",
  "VO" : "Mammoth",
  "Family" : "BEAST",
  "Species" : [""],
  "FP" : "6", 
  "Size" : "TG",
  "AC" : 13,
  "HP" : 126, 
  "Speed" : "",
  "Alignments" : [],
  "Legendary" : ""},
"Mâne": {
  "Name" : "Mâne",
  "VO" : "Manes",
  "Family" : "FIEND",
  "Species" : ["DAEMON"],
  "FP" : "1/8", 
  "Size" : "P",
  "AC" : 9,
  "HP" : 9, 
  "Speed" : "",
  "Alignments" : ["9_CM"],
  "Legendary" : ""},
"Manshoon": {
  "Name" : "Manshoon",
  "VO" : "Manshoon",
  "Family" : "HUMANOID",
  "Species" : ["HUMAN"],
  "FP" : "13", 
  "Size" : "M",
  "AC" : 19,
  "HP" : 126, 
  "Speed" : "",
  "Alignments" : ["7_LM"],
  "Legendary" : ""},
"Mante obscure": {
  "Name" : "Mante obscure",
  "VO" : "Darkmantle",
  "Family" : "MONSTROUS_CREATURE",
  "Species" : [""],
  "FP" : "1/2", 
  "Size" : "P",
  "AC" : 11,
  "HP" : 22, 
  "Speed" : "vol",
  "Alignments" : [],
  "Legendary" : ""},
"Manteleur": {
  "Name" : "Manteleur",
  "VO" : "Cloaker",
  "Family" : "ABERRATION",
  "Species" : [""],
  "FP" : "8", 
  "Size" : "G",
  "AC" : 14,
  "HP" : 78, 
  "Speed" : "vol",
  "Alignments" : ["6_CN"],
  "Legendary" : ""},
"Manticore": {
  "Name" : "Manticore",
  "VO" : "Manticore",
  "Family" : "MONSTROUS_CREATURE",
  "Species" : [""],
  "FP" : "3", 
  "Size" : "G",
  "AC" : 14,
  "HP" : 68, 
  "Speed" : "vol",
  "Alignments" : ["7_LM"],
  "Legendary" : ""},
"Maride": {
  "Name" : "Maride",
  "VO" : "Marid",
  "Family" : "ELEMENTARY",
  "Species" : [""],
  "FP" : "11", 
  "Size" : "G",
  "AC" : 17,
  "HP" : 229, 
  "Speed" : "vol, nage",
  "Alignments" : ["6_CN"],
  "Legendary" : ""}</v>
      </c>
    </row>
    <row r="828" spans="1:16">
      <c r="N828" s="297"/>
      <c r="P828" t="str">
        <f>CONCATENATE(",
",P501,",
",P502,",
",P503,",
",P504,",
",P505,",
",P506,",
",P507,",
",P508,",
",P509,",
",P510,",
",P511,",
",P512,",
",P513,",
",P514,",
",P515,",
",P516,",
",P517,",
",P518,",
",P519,",
",P520,",
",P521,",
",P522,",
",P523,",
",P524,",
",P525,",
",P526,",
",P527,",
",P528,",
",P529,",
",P530,",
",P531,",
",P532,",
",P533,",
",P534,",
",P535,",
",P536,",
",P537,",
",P538,",
",P539,",
",P540,",
",P541,",
",P542,",
",P543,",
",P544,",
",P545,",
",P546,",
",P547,",
",P548,",
",P549,",
",P550,",
",P551,",
",P552,",
",P553,",
",P554,",
",P555,",
",P556,",
",P557,",
",P558,",
",P559,",
",P560,",
",P561,",
",P562,",
",P563,",
",P564,",
",P565,",
",P566,",
",P567,",
",P568,",
",P569,",
",P570,",
",P571,",
",P572,",
",P573,",
",P574,",
",P575,",
",P576,",
",P577,",
",P578,",
",P579,",
",P580,",
",P581,",
",P582,",
",P583,",
",P584,",
",P585,",
",P586,",
",P587,",
",P588,",
",P589,",
",P590,",
",P591,",
",P592,",
",P593,",
",P594,",
",P595,",
",P596,",
",P597,",
",P598,",
",P599,",
",P600)</f>
        <v>,
"Marilith": {
  "Name" : "Marilith",
  "VO" : "Marilith",
  "Family" : "FIEND",
  "Species" : ["DAEMON"],
  "FP" : "16", 
  "Size" : "G",
  "AC" : 18,
  "HP" : 189, 
  "Speed" : "",
  "Alignments" : ["9_CM"],
  "Legendary" : ""},
"Marut": {
  "Name" : "Marut",
  "VO" : "Marut",
  "Family" : "ARTIFICIAL_CREATURE",
  "Species" : ["INEVITABLE"],
  "FP" : "25", 
  "Size" : "G",
  "AC" : 22,
  "HP" : 432, 
  "Speed" : "vol",
  "Alignments" : ["4_LN"],
  "Legendary" : ""},
"Mastodonte des ombres": {
  "Name" : "Mastodonte des ombres",
  "VO" : "Umber Hulk",
  "Family" : "MONSTROUS_CREATURE",
  "Species" : [""],
  "FP" : "5", 
  "Size" : "G",
  "AC" : 18,
  "HP" : 93, 
  "Speed" : "",
  "Alignments" : ["9_CM"],
  "Legendary" : ""},
"Maurezhi": {
  "Name" : "Maurezhi",
  "VO" : "Maurezhi",
  "Family" : "FIEND",
  "Species" : ["DAEMON"],
  "FP" : "7", 
  "Size" : "M",
  "AC" : 15,
  "HP" : 88, 
  "Speed" : "",
  "Alignments" : ["9_CM"],
  "Legendary" : ""},
"Meazel": {
  "Name" : "Meazel",
  "VO" : "Meazel",
  "Family" : "HUMANOID",
  "Species" : ["MEAZEL"],
  "FP" : "1", 
  "Size" : "M",
  "AC" : 13,
  "HP" : 35, 
  "Speed" : "",
  "Alignments" : ["8_NM"],
  "Legendary" : ""},
"Méduse": {
  "Name" : "Méduse",
  "VO" : "Medusa",
  "Family" : "MONSTROUS_CREATURE",
  "Species" : [""],
  "FP" : "6", 
  "Size" : "M",
  "AC" : 15,
  "HP" : 127, 
  "Speed" : "",
  "Alignments" : ["7_LM"],
  "Legendary" : ""},
"Méphite de boue": {
  "Name" : "Méphite de boue",
  "VO" : "Mud Mephit",
  "Family" : "ELEMENTARY",
  "Species" : [""],
  "FP" : "1/4", 
  "Size" : "P",
  "AC" : 11,
  "HP" : 27, 
  "Speed" : "vol, nage",
  "Alignments" : ["8_NM"],
  "Legendary" : ""},
"Méphite de fumée": {
  "Name" : "Méphite de fumée",
  "VO" : "Smoke Mephit",
  "Family" : "ELEMENTARY",
  "Species" : [""],
  "FP" : "1/4", 
  "Size" : "P",
  "AC" : 12,
  "HP" : 22, 
  "Speed" : "vol",
  "Alignments" : ["8_NM"],
  "Legendary" : ""},
"Méphite de glace": {
  "Name" : "Méphite de glace",
  "VO" : "Ice Mephit",
  "Family" : "ELEMENTARY",
  "Species" : [""],
  "FP" : "1/2", 
  "Size" : "P",
  "AC" : 11,
  "HP" : 21, 
  "Speed" : "vol",
  "Alignments" : ["8_NM"],
  "Legendary" : ""},
"Méphite de magma": {
  "Name" : "Méphite de magma",
  "VO" : "Magma Mephit",
  "Family" : "ELEMENTARY",
  "Species" : [""],
  "FP" : "1/2", 
  "Size" : "P",
  "AC" : 11,
  "HP" : 22, 
  "Speed" : "vol",
  "Alignments" : ["8_NM"],
  "Legendary" : ""},
"Méphite de poussière": {
  "Name" : "Méphite de poussière",
  "VO" : "Dust Mephit",
  "Family" : "ELEMENTARY",
  "Species" : [""],
  "FP" : "1/2", 
  "Size" : "P",
  "AC" : 12,
  "HP" : 17, 
  "Speed" : "vol",
  "Alignments" : ["8_NM"],
  "Legendary" : ""},
"Méphite de vapeur": {
  "Name" : "Méphite de vapeur",
  "VO" : "Steam Mephit",
  "Family" : "ELEMENTARY",
  "Species" : [""],
  "FP" : "1/4", 
  "Size" : "P",
  "AC" : 10,
  "HP" : 21, 
  "Speed" : "vol",
  "Alignments" : ["8_NM"],
  "Legendary" : ""},
"Mercenaire de Bois noir": {
  "Name" : "Mercenaire de Bois noir",
  "VO" : "Black Wood Mercenary",
  "Family" : "HUMANOID",
  "Species" : ["HUMAN"],
  "FP" : "1", 
  "Size" : "M",
  "AC" : 13,
  "HP" : 38, 
  "Speed" : "",
  "Alignments" : ["5_NN"],
  "Legendary" : ""},
"Merregon": {
  "Name" : "Merregon",
  "VO" : "Merregon",
  "Family" : "FIEND",
  "Species" : ["DEVIL"],
  "FP" : "4", 
  "Size" : "M",
  "AC" : 16,
  "HP" : 45, 
  "Speed" : "",
  "Alignments" : ["7_LM"],
  "Legendary" : ""},
"Merrenoloth": {
  "Name" : "Merrenoloth",
  "VO" : "Merrenoloth",
  "Family" : "FIEND",
  "Species" : ["YUGOLOTH"],
  "FP" : "3", 
  "Size" : "M",
  "AC" : 13,
  "HP" : 40, 
  "Speed" : "nage",
  "Alignments" : ["8_NM"],
  "Legendary" : ""},
"Merrow": {
  "Name" : "Merrow",
  "VO" : "Merrow",
  "Family" : "MONSTROUS_CREATURE",
  "Species" : [""],
  "FP" : "2", 
  "Size" : "G",
  "AC" : 13,
  "HP" : 45, 
  "Speed" : "nage",
  "Alignments" : ["9_CM"],
  "Legendary" : ""},
"Merrow, prêtre de la surface": {
  "Name" : "Merrow, prêtre de la surface",
  "VO" : "Merrow Shallowpriest",
  "Family" : "MONSTROUS_CREATURE",
  "Species" : [""],
  "FP" : "4", 
  "Size" : "G",
  "AC" : 15,
  "HP" : 75, 
  "Speed" : "nage",
  "Alignments" : ["9_CM"],
  "Legendary" : ""},
"Messager expéditif": {
  "Name" : "Messager expéditif",
  "VO" : "Expeditious Messenger",
  "Family" : "ARTIFICIAL_CREATURE",
  "Species" : [""],
  "FP" : "1/8", 
  "Size" : "TP",
  "AC" : 13,
  "HP" : 7, 
  "Speed" : "vol",
  "Alignments" : ["5_NN"],
  "Legendary" : ""},
"Mez'Arate": {
  "Name" : "Mez'Arate",
  "VO" : "Mez'Arate",
  "Family" : "HUMANOID",
  "Species" : ["HUMAN"],
  "FP" : "2", 
  "Size" : "M",
  "AC" : 14,
  "HP" : 28, 
  "Speed" : "",
  "Alignments" : ["7_LM"],
  "Legendary" : ""},
"Mezzoloth": {
  "Name" : "Mezzoloth",
  "VO" : "Mezzoloth",
  "Family" : "FIEND",
  "Species" : ["YUGOLOTH"],
  "FP" : "5", 
  "Size" : "M",
  "AC" : 18,
  "HP" : 75, 
  "Speed" : "",
  "Alignments" : ["8_NM"],
  "Legendary" : ""},
"Mille-pattes géant": {
  "Name" : "Mille-pattes géant",
  "VO" : "Giant Centipede",
  "Family" : "BEAST",
  "Species" : [""],
  "FP" : "1/4", 
  "Size" : "P",
  "AC" : 13,
  "HP" : 4, 
  "Speed" : "",
  "Alignments" : [],
  "Legendary" : ""},
"Mimique": {
  "Name" : "Mimique",
  "VO" : "Mimic",
  "Family" : "MONSTROUS_CREATURE",
  "Species" : ["METAMORPH"],
  "FP" : "2", 
  "Size" : "M",
  "AC" : 12,
  "HP" : 58, 
  "Speed" : "",
  "Alignments" : ["5_NN"],
  "Legendary" : ""},
"Minotaure": {
  "Name" : "Minotaure",
  "VO" : "Minotaur",
  "Family" : "MONSTROUS_CREATURE",
  "Species" : [""],
  "FP" : "3", 
  "Size" : "G",
  "AC" : 14,
  "HP" : 76, 
  "Speed" : "",
  "Alignments" : ["9_CM"],
  "Legendary" : ""},
"Minotaure squelette": {
  "Name" : "Minotaure squelette",
  "VO" : "Minotaur Skeleton",
  "Family" : "UNDEAD",
  "Species" : [""],
  "FP" : "2", 
  "Size" : "G",
  "AC" : 12,
  "HP" : 67, 
  "Speed" : "",
  "Alignments" : ["7_LM"],
  "Legendary" : ""},
"Moisissure violette": {
  "Name" : "Moisissure violette",
  "VO" : "Violet Fungus",
  "Family" : "PLANT",
  "Species" : [""],
  "FP" : "1/4", 
  "Size" : "M",
  "AC" : 5,
  "HP" : 18, 
  "Speed" : "",
  "Alignments" : [],
  "Legendary" : ""},
"Moloch": {
  "Name" : "Moloch",
  "VO" : "Moloch",
  "Family" : "FIEND",
  "Species" : ["DEVIL"],
  "FP" : "21", 
  "Size" : "G",
  "AC" : 19,
  "HP" : 253, 
  "Speed" : "",
  "Alignments" : ["7_LM"],
  "Legendary" : "Légendaire"},
"Molosse": {
  "Name" : "Molosse",
  "VO" : "Mastiff",
  "Family" : "BEAST",
  "Species" : [""],
  "FP" : "1/8", 
  "Size" : "M",
  "AC" : 12,
  "HP" : 5, 
  "Speed" : "",
  "Alignments" : [],
  "Legendary" : ""},
"Molosse de Yeth": {
  "Name" : "Molosse de Yeth",
  "VO" : "Yeth Hound",
  "Family" : "FAIRY",
  "Species" : [""],
  "FP" : "4", 
  "Size" : "G",
  "AC" : 14,
  "HP" : 51, 
  "Speed" : "vol",
  "Alignments" : ["8_NM"],
  "Legendary" : ""},
"Molosse des ombres": {
  "Name" : "Molosse des ombres",
  "VO" : "Shadow Mastiff",
  "Family" : "MONSTROUS_CREATURE",
  "Species" : [""],
  "FP" : "2", 
  "Size" : "M",
  "AC" : 12,
  "HP" : 33, 
  "Speed" : "",
  "Alignments" : ["8_NM"],
  "Legendary" : ""},
"Molosse du Valénar": {
  "Name" : "Molosse du Valénar",
  "VO" : "Valenar Hound",
  "Family" : "FAIRY",
  "Species" : [""],
  "FP" : "1/2", 
  "Size" : "M",
  "AC" : 14,
  "HP" : 19, 
  "Speed" : "",
  "Alignments" : ["5_NN"],
  "Legendary" : ""},
"Molosse infernal": {
  "Name" : "Molosse infernal",
  "VO" : "Hell Hound",
  "Family" : "FIEND",
  "Species" : [""],
  "FP" : "3", 
  "Size" : "M",
  "AC" : 15,
  "HP" : 45, 
  "Speed" : "",
  "Alignments" : ["7_LM"],
  "Legendary" : ""},
"Molydeus": {
  "Name" : "Molydeus",
  "VO" : "Molydeus",
  "Family" : "FIEND",
  "Species" : ["DAEMON"],
  "FP" : "21", 
  "Size" : "TG",
  "AC" : 19,
  "HP" : 216, 
  "Speed" : "",
  "Alignments" : ["9_CM"],
  "Legendary" : ""},
"Momie": {
  "Name" : "Momie",
  "VO" : "Mummy",
  "Family" : "UNDEAD",
  "Species" : [""],
  "FP" : "3", 
  "Size" : "M",
  "AC" : 11,
  "HP" : 58, 
  "Speed" : "",
  "Alignments" : ["7_LM"],
  "Legendary" : ""},
"Monodrone": {
  "Name" : "Monodrone",
  "VO" : "Monodrone",
  "Family" : "ARTIFICIAL_CREATURE",
  "Species" : [""],
  "FP" : "1/8", 
  "Size" : "M",
  "AC" : 15,
  "HP" : 5, 
  "Speed" : "vol",
  "Alignments" : ["4_LN"],
  "Legendary" : ""},
"Monture du Valénar": {
  "Name" : "Monture du Valénar",
  "VO" : "Valenar Steed",
  "Family" : "FAIRY",
  "Species" : [""],
  "FP" : "1/2", 
  "Size" : "G",
  "AC" : 13,
  "HP" : 22, 
  "Speed" : "",
  "Alignments" : ["5_NN"],
  "Legendary" : ""},
"Mordakhesh": {
  "Name" : "Mordakhesh",
  "VO" : "Mordakhesh",
  "Family" : "FIEND",
  "Species" : [""],
  "FP" : "15", 
  "Size" : "M",
  "AC" : 18,
  "HP" : 170, 
  "Speed" : "",
  "Alignments" : ["7_LM"],
  "Legendary" : ""},
"Morkoth": {
  "Name" : "Morkoth",
  "VO" : "Morkoth",
  "Family" : "ABERRATION",
  "Species" : [""],
  "FP" : "11", 
  "Size" : "M",
  "AC" : 17,
  "HP" : 130, 
  "Speed" : "nage",
  "Alignments" : ["9_CM"],
  "Legendary" : ""},
"Mule": {
  "Name" : "Mule",
  "VO" : "Mule",
  "Family" : "BEAST",
  "Species" : [""],
  "FP" : "1/8", 
  "Size" : "M",
  "AC" : 10,
  "HP" : 11, 
  "Speed" : "",
  "Alignments" : [],
  "Legendary" : ""},
"Myconide, adulte": {
  "Name" : "Myconide, adulte",
  "VO" : "Myconid adult",
  "Family" : "PLANT",
  "Species" : [""],
  "FP" : "1/2", 
  "Size" : "M",
  "AC" : 12,
  "HP" : 22, 
  "Speed" : "",
  "Alignments" : ["4_LN"],
  "Legendary" : ""},
"Myconide, jeune pousse": {
  "Name" : "Myconide, jeune pousse",
  "VO" : "Myconid sprout",
  "Family" : "PLANT",
  "Species" : [""],
  "FP" : "0", 
  "Size" : "P",
  "AC" : 10,
  "HP" : 7, 
  "Speed" : "",
  "Alignments" : ["4_LN"],
  "Legendary" : ""},
"Myconide, souverain": {
  "Name" : "Myconide, souverain",
  "VO" : "Myconid Sovereign",
  "Family" : "PLANT",
  "Species" : [""],
  "FP" : "2", 
  "Size" : "G",
  "AC" : 13,
  "HP" : 60, 
  "Speed" : "",
  "Alignments" : ["4_LN"],
  "Legendary" : ""},
"Nabassu": {
  "Name" : "Nabassu",
  "VO" : "Nabassu",
  "Family" : "FIEND",
  "Species" : ["DAEMON"],
  "FP" : "15", 
  "Size" : "M",
  "AC" : 18,
  "HP" : 190, 
  "Speed" : "vol",
  "Alignments" : ["9_CM"],
  "Legendary" : ""},
"Naga corrupteur": {
  "Name" : "Naga corrupteur",
  "VO" : "Spirit Naga",
  "Family" : "MONSTROUS_CREATURE",
  "Species" : [""],
  "FP" : "8", 
  "Size" : "G",
  "AC" : 15,
  "HP" : 75, 
  "Speed" : "",
  "Alignments" : ["9_CM"],
  "Legendary" : ""},
"Naga gardien": {
  "Name" : "Naga gardien",
  "VO" : "Guardian Naga",
  "Family" : "MONSTROUS_CREATURE",
  "Species" : [""],
  "FP" : "10", 
  "Size" : "G",
  "AC" : 18,
  "HP" : 127, 
  "Speed" : "",
  "Alignments" : ["1_LB"],
  "Legendary" : ""},
"Naga osseux": {
  "Name" : "Naga osseux",
  "VO" : "Bone Naga",
  "Family" : "UNDEAD",
  "Species" : [""],
  "FP" : "4", 
  "Size" : "G",
  "AC" : 15,
  "HP" : 58, 
  "Speed" : "",
  "Alignments" : ["7_LM"],
  "Legendary" : ""},
"Nagpa": {
  "Name" : "Nagpa",
  "VO" : "Nagpa",
  "Family" : "HUMANOID",
  "Species" : ["NAGPA"],
  "FP" : "17", 
  "Size" : "M",
  "AC" : 19,
  "HP" : 187, 
  "Speed" : "",
  "Alignments" : ["8_NM"],
  "Legendary" : ""},
"Nalfeshnie": {
  "Name" : "Nalfeshnie",
  "VO" : "Nalfeshnee",
  "Family" : "FIEND",
  "Species" : ["DAEMON"],
  "FP" : "13", 
  "Size" : "G",
  "AC" : 18,
  "HP" : 184, 
  "Speed" : "vol",
  "Alignments" : ["9_CM"],
  "Legendary" : ""},
"Narzugon": {
  "Name" : "Narzugon",
  "VO" : "Narzugon",
  "Family" : "FIEND",
  "Species" : ["DEVIL"],
  "FP" : "13", 
  "Size" : "M",
  "AC" : 20,
  "HP" : 112, 
  "Speed" : "",
  "Alignments" : ["7_LM"],
  "Legendary" : ""},
"Nécromant": {
  "Name" : "Nécromant",
  "VO" : "Necromancer",
  "Family" : "HUMANOID",
  "Species" : [""],
  "FP" : "9", 
  "Size" : "M",
  "AC" : 12,
  "HP" : 66, 
  "Speed" : "",
  "Alignments" : ["1_LB", "2_NB", "3_CB", "4_LN", "5_NN", "6_CN", "7_LM", "8_NM", "9_CM"],
  "Legendary" : ""},
"Nécromite of Myrkul": {
  "Name" : "Nécromite of Myrkul",
  "VO" : "Necromite of Myrkul",
  "Family" : "HUMANOID",
  "Species" : ["HUMAN"],
  "FP" : "1/2", 
  "Size" : "M",
  "AC" : 11,
  "HP" : 13, 
  "Speed" : "",
  "Alignments" : ["8_NM"],
  "Legendary" : ""},
"Nécrophage": {
  "Name" : "Nécrophage",
  "VO" : "Wight",
  "Family" : "UNDEAD",
  "Species" : [""],
  "FP" : "3", 
  "Size" : "M",
  "AC" : 14,
  "HP" : 45, 
  "Speed" : "",
  "Alignments" : ["8_NM"],
  "Legendary" : ""},
"Néogi": {
  "Name" : "Néogi",
  "VO" : "Neogi",
  "Family" : "ABERRATION",
  "Species" : [""],
  "FP" : "3", 
  "Size" : "P",
  "AC" : 15,
  "HP" : 33, 
  "Speed" : "",
  "Alignments" : ["7_LM"],
  "Legendary" : ""},
"Néogi, larve": {
  "Name" : "Néogi, larve",
  "VO" : "Neogi Hatchling",
  "Family" : "ABERRATION",
  "Species" : [""],
  "FP" : "1/8", 
  "Size" : "TP",
  "AC" : 11,
  "HP" : 7, 
  "Speed" : "",
  "Alignments" : ["7_LM"],
  "Legendary" : ""},
"Néogi, maître": {
  "Name" : "Néogi, maître",
  "VO" : "Neogi Master",
  "Family" : "ABERRATION",
  "Species" : [""],
  "FP" : "4", 
  "Size" : "M",
  "AC" : 15,
  "HP" : 71, 
  "Speed" : "",
  "Alignments" : ["7_LM"],
  "Legendary" : ""},
"Néothélide": {
  "Name" : "Néothélide",
  "VO" : "Neothelid",
  "Family" : "ABERRATION",
  "Species" : [""],
  "FP" : "13", 
  "Size" : "Gig",
  "AC" : 16,
  "HP" : 325, 
  "Speed" : "",
  "Alignments" : ["9_CM"],
  "Legendary" : ""},
"Nergalien": {
  "Name" : "Nergalien",
  "VO" : "Nergaliid",
  "Family" : "FIEND",
  "Species" : ["DEVIL"],
  "FP" : "3", 
  "Size" : "G",
  "AC" : 12,
  "HP" : 42, 
  "Speed" : "",
  "Alignments" : ["7_LM"],
  "Legendary" : ""},
"Nerissa": {
  "Name" : "Nerissa",
  "VO" : "Nerissa",
  "Family" : "HUMANOID",
  "Species" : ["HUMAN"],
  "FP" : "1/2", 
  "Size" : "M",
  "AC" : 14,
  "HP" : 22, 
  "Speed" : "",
  "Alignments" : ["1_LB"],
  "Legendary" : ""},
"Nilbog": {
  "Name" : "Nilbog",
  "VO" : "Nilbog",
  "Family" : "HUMANOID",
  "Species" : ["GOBELINOID"],
  "FP" : "1", 
  "Size" : "P",
  "AC" : 13,
  "HP" : 7, 
  "Speed" : "",
  "Alignments" : ["9_CM"],
  "Legendary" : ""},
"Noble": {
  "Name" : "Noble",
  "VO" : "Noble",
  "Family" : "HUMANOID",
  "Species" : [""],
  "FP" : "1/8", 
  "Size" : "M",
  "AC" : 15,
  "HP" : 9, 
  "Speed" : "",
  "Alignments" : ["1_LB", "2_NB", "3_CB", "4_LN", "5_NN", "6_CN", "7_LM", "8_NM", "9_CM"],
  "Legendary" : ""},
"Nothic": {
  "Name" : "Nothic",
  "VO" : "Nothic",
  "Family" : "ABERRATION",
  "Species" : [""],
  "FP" : "2", 
  "Size" : "M",
  "AC" : 15,
  "HP" : 45, 
  "Speed" : "",
  "Alignments" : ["8_NM"],
  "Legendary" : ""},
"Nuage mortel vivant": {
  "Name" : "Nuage mortel vivant",
  "VO" : "Living Cloudkill",
  "Family" : "ARTIFICIAL_CREATURE",
  "Species" : [""],
  "FP" : "7", 
  "Size" : "G",
  "AC" : 15,
  "HP" : 73, 
  "Speed" : "vol",
  "Alignments" : [],
  "Legendary" : ""},
"Nuée d'insectes": {
  "Name" : "Nuée d'insectes",
  "VO" : "Swarm of Insects",
  "Family" : "CLOUD_BEASTS",
  "Species" : [""],
  "FP" : "1/2", 
  "Size" : "M",
  "AC" : 12,
  "HP" : 22, 
  "Speed" : "",
  "Alignments" : [],
  "Legendary" : ""},
"Nuée de chauves-souris": {
  "Name" : "Nuée de chauves-souris",
  "VO" : "Swarm of Bats",
  "Family" : "CLOUD_BEASTS",
  "Species" : [""],
  "FP" : "1/4", 
  "Size" : "M",
  "AC" : 12,
  "HP" : 22, 
  "Speed" : "vol",
  "Alignments" : [],
  "Legendary" : ""},
"Nuée de corbeaux": {
  "Name" : "Nuée de corbeaux",
  "VO" : "Swarm of Ravens",
  "Family" : "CLOUD_BEASTS",
  "Species" : [""],
  "FP" : "1/4", 
  "Size" : "M",
  "AC" : 12,
  "HP" : 24, 
  "Speed" : "vol",
  "Alignments" : [],
  "Legendary" : ""},
"Nuée de gobelins maudits": {
  "Name" : "Nuée de gobelins maudits",
  "VO" : "Swarms of Cursed Goblins",
  "Family" : "CLOUD_HUMANOID",
  "Species" : ["GOBELINOID"],
  "FP" : "1/2", 
  "Size" : "M",
  "AC" : 12,
  "HP" : 22, 
  "Speed" : "",
  "Alignments" : ["7_LM"],
  "Legendary" : ""},
"Nuée de piranhas": {
  "Name" : "Nuée de piranhas",
  "VO" : "Swarm of Quippers",
  "Family" : "CLOUD_BEASTS",
  "Species" : [""],
  "FP" : "1", 
  "Size" : "M",
  "AC" : 13,
  "HP" : 28, 
  "Speed" : "nage",
  "Alignments" : [],
  "Legendary" : ""},
"Nuée de rats": {
  "Name" : "Nuée de rats",
  "VO" : "Swarm of Rats",
  "Family" : "CLOUD_BEASTS",
  "Species" : [""],
  "FP" : "1/4", 
  "Size" : "M",
  "AC" : 10,
  "HP" : 24, 
  "Speed" : "",
  "Alignments" : [],
  "Legendary" : ""},
"Nuée de rats-crâne": {
  "Name" : "Nuée de rats-crâne",
  "VO" : "Swarm of Cranium Rats",
  "Family" : "CLOUD_BEASTS",
  "Species" : [""],
  "FP" : "5", 
  "Size" : "M",
  "AC" : 12,
  "HP" : 36, 
  "Speed" : "",
  "Alignments" : ["7_LM"],
  "Legendary" : ""},
"Nuée de serpents venimeux": {
  "Name" : "Nuée de serpents venimeux",
  "VO" : "Swarm of Poisonous Snakes",
  "Family" : "CLOUD_BEASTS",
  "Species" : [""],
  "FP" : "2", 
  "Size" : "M",
  "AC" : 14,
  "HP" : 36, 
  "Speed" : "nage",
  "Alignments" : [],
  "Legendary" : ""},
"Nuée de vers putrides": {
  "Name" : "Nuée de vers putrides",
  "VO" : "Swarm of Rot Grubs",
  "Family" : "CLOUD_BEASTS",
  "Species" : [""],
  "FP" : "1/2", 
  "Size" : "M",
  "AC" : 8,
  "HP" : 22, 
  "Speed" : "",
  "Alignments" : [],
  "Legendary" : ""},
"Nupperibo": {
  "Name" : "Nupperibo",
  "VO" : "Nupperibo",
  "Family" : "FIEND",
  "Species" : ["DEVIL"],
  "FP" : "1/2", 
  "Size" : "M",
  "AC" : 13,
  "HP" : 11, 
  "Speed" : "",
  "Alignments" : ["7_LM"],
  "Legendary" : ""},
"Nycaloth": {
  "Name" : "Nycaloth",
  "VO" : "Nycaloth",
  "Family" : "FIEND",
  "Species" : ["YUGOLOTH"],
  "FP" : "9", 
  "Size" : "G",
  "AC" : 18,
  "HP" : 123, 
  "Speed" : "vol",
  "Alignments" : ["8_NM"],
  "Legendary" : ""},
"Oblex, adulte": {
  "Name" : "Oblex, adulte",
  "VO" : "Adult Oblex",
  "Family" : "MUD",
  "Species" : [""],
  "FP" : "5", 
  "Size" : "M",
  "AC" : 14,
  "HP" : 75, 
  "Speed" : "",
  "Alignments" : ["7_LM"],
  "Legendary" : ""},
"Oblex, rejeton": {
  "Name" : "Oblex, rejeton",
  "VO" : "Oblex Spawn",
  "Family" : "MUD",
  "Species" : [""],
  "FP" : "1/4", 
  "Size" : "TP",
  "AC" : 13,
  "HP" : 18, 
  "Speed" : "",
  "Alignments" : ["7_LM"],
  "Legendary" : ""},
"Oblex, vénérable": {
  "Name" : "Oblex, vénérable",
  "VO" : "Elder Oblex",
  "Family" : "MUD",
  "Species" : [""],
  "FP" : "10", 
  "Size" : "TG",
  "AC" : 16,
  "HP" : 115, 
  "Speed" : "",
  "Alignments" : ["7_LM"],
  "Legendary" : ""},
"Ogre": {
  "Name" : "Ogre",
  "VO" : "Ogre",
  "Family" : "GIANT",
  "Species" : [""],
  "FP" : "2", 
  "Size" : "G",
  "AC" : 11,
  "HP" : 59, 
  "Speed" : "",
  "Alignments" : ["9_CM"],
  "Legendary" : ""},
"Ogre zombi": {
  "Name" : "Ogre zombi",
  "VO" : "Ogre Zombie",
  "Family" : "UNDEAD",
  "Species" : [""],
  "FP" : "2", 
  "Size" : "G",
  "AC" : 8,
  "HP" : 85, 
  "Speed" : "",
  "Alignments" : ["8_NM"],
  "Legendary" : ""},
"Ogre, brute à chaînes": {
  "Name" : "Ogre, brute à chaînes",
  "VO" : "Ogre Chain Brute",
  "Family" : "GIANT",
  "Species" : [""],
  "FP" : "3", 
  "Size" : "G",
  "AC" : 11,
  "HP" : 59, 
  "Speed" : "",
  "Alignments" : ["9_CM"],
  "Legendary" : ""},
"Ogre, lanceur de piques": {
  "Name" : "Ogre, lanceur de piques",
  "VO" : "Ogre Bolt Launcher",
  "Family" : "GIANT",
  "Species" : [""],
  "FP" : "2", 
  "Size" : "G",
  "AC" : 13,
  "HP" : 59, 
  "Speed" : "",
  "Alignments" : ["9_CM"],
  "Legendary" : ""},
"Ogre, porte-bélier": {
  "Name" : "Ogre, porte-bélier",
  "VO" : "Ogre Battering Ram",
  "Family" : "GIANT",
  "Species" : [""],
  "FP" : "4", 
  "Size" : "G",
  "AC" : 14,
  "HP" : 59, 
  "Speed" : "",
  "Alignments" : ["9_CM"],
  "Legendary" : ""},
"Ogre, porte-palanquin": {
  "Name" : "Ogre, porte-palanquin",
  "VO" : "Ogre Howdah",
  "Family" : "GIANT",
  "Species" : [""],
  "FP" : "2", 
  "Size" : "G",
  "AC" : 13,
  "HP" : 59, 
  "Speed" : "",
  "Alignments" : ["9_CM"],
  "Legendary" : ""},
"Oinoloth": {
  "Name" : "Oinoloth",
  "VO" : "Oinoloth",
  "Family" : "FIEND",
  "Species" : ["YUGOLOTH"],
  "FP" : "12", 
  "Size" : "M",
  "AC" : 17,
  "HP" : 126, 
  "Speed" : "",
  "Alignments" : ["8_NM"],
  "Legendary" : ""},
"Ombre": {
  "Name" : "Ombre",
  "VO" : "Shadow",
  "Family" : "UNDEAD",
  "Species" : [""],
  "FP" : "1/2", 
  "Size" : "M",
  "AC" : 12,
  "HP" : 16, 
  "Speed" : "",
  "Alignments" : ["9_CM"],
  "Legendary" : ""},
"Ombre, ancienne": {
  "Name" : "Ombre, ancienne",
  "VO" : "Ancient Shadow",
  "Family" : "UNDEAD",
  "Species" : [""],
  "FP" : "1", 
  "Size" : "M",
  "AC" : 13,
  "HP" : 32, 
  "Speed" : "",
  "Alignments" : ["9_CM"],
  "Legendary" : ""},
"Ombre, vénérable": {
  "Name" : "Ombre, vénérable",
  "VO" : "Venerable Shadow",
  "Family" : "UNDEAD",
  "Species" : [""],
  "FP" : "2", 
  "Size" : "M",
  "AC" : 13,
  "HP" : 27, 
  "Speed" : "",
  "Alignments" : ["9_CM"],
  "Legendary" : ""},
"Oni": {
  "Name" : "Oni",
  "VO" : "Oni",
  "Family" : "GIANT",
  "Species" : [""],
  "FP" : "7", 
  "Size" : "G",
  "AC" : 16,
  "HP" : 110, 
  "Speed" : "vol",
  "Alignments" : ["7_LM"],
  "Legendary" : ""},
"Orcus": {
  "Name" : "Orcus",
  "VO" : "Orcus",
  "Family" : "FIEND",
  "Species" : ["DAEMON"],
  "FP" : "26", 
  "Size" : "TG",
  "AC" : 17,
  "HP" : 405, 
  "Speed" : "vol",
  "Alignments" : ["9_CM"],
  "Legendary" : "Légendaire"},
"Orog": {
  "Name" : "Orog",
  "VO" : "Orog",
  "Family" : "HUMANOID",
  "Species" : ["ORC"],
  "FP" : "2", 
  "Size" : "M",
  "AC" : 18,
  "HP" : 42, 
  "Speed" : "",
  "Alignments" : ["9_CM"],
  "Legendary" : ""},
"Orque": {
  "Name" : "Orque",
  "VO" : "Orc",
  "Family" : "HUMANOID",
  "Species" : ["ORC"],
  "FP" : "1/2", 
  "Size" : "M",
  "AC" : 13,
  "HP" : 15, 
  "Speed" : "",
  "Alignments" : ["9_CM"],
  "Legendary" : ""},
"Orque, chef de guerre": {
  "Name" : "Orque, chef de guerre",
  "VO" : "Orc War Chief",
  "Family" : "HUMANOID",
  "Species" : ["ORC"],
  "FP" : "4", 
  "Size" : "M",
  "AC" : 16,
  "HP" : 93, 
  "Speed" : "",
  "Alignments" : ["9_CM"],
  "Legendary" : ""},
"Orque, croc rouge de Shargaas": {
  "Name" : "Orque, croc rouge de Shargaas",
  "VO" : "Orc Red Fang of Shargaas",
  "Family" : "HUMANOID",
  "Species" : ["ORC"],
  "FP" : "3", 
  "Size" : "M",
  "AC" : 15,
  "HP" : 52, 
  "Speed" : "",
  "Alignments" : ["9_CM"],
  "Legendary" : ""},
"Orque, griffe de Luthic": {
  "Name" : "Orque, griffe de Luthic",
  "VO" : "Orc Claw of Luthic",
  "Family" : "HUMANOID",
  "Species" : ["ORC"],
  "FP" : "2", 
  "Size" : "M",
  "AC" : 14,
  "HP" : 45, 
  "Speed" : "",
  "Alignments" : ["9_CM"],
  "Legendary" : ""},
"Orque, lame d'Ilneval": {
  "Name" : "Orque, lame d'Ilneval",
  "VO" : "Orc Blade of Ilneval",
  "Family" : "HUMANOID",
  "Species" : ["ORC"],
  "FP" : "4", 
  "Size" : "M",
  "AC" : 18,
  "HP" : 60, 
  "Speed" : "",
  "Alignments" : ["9_CM"],
  "Legendary" : ""},
"Orque, main de Yurtrus": {
  "Name" : "Orque, main de Yurtrus",
  "VO" : "Orc Hand of Yurtrus",
  "Family" : "HUMANOID",
  "Species" : ["ORC"],
  "FP" : "2", 
  "Size" : "M",
  "AC" : 12,
  "HP" : 30, 
  "Speed" : "",
  "Alignments" : ["9_CM"],
  "Legendary" : ""},
"Orque, Oeil de Gruumsh": {
  "Name" : "Orque, Oeil de Gruumsh",
  "VO" : "Orc Eye of Gruumsh",
  "Family" : "HUMANOID",
  "Species" : ["ORC"],
  "FP" : "2", 
  "Size" : "M",
  "AC" : 16,
  "HP" : 45, 
  "Speed" : "",
  "Alignments" : ["9_CM"],
  "Legendary" : ""},
"Orthon": {
  "Name" : "Orthon",
  "VO" : "Orthon",
  "Family" : "FIEND",
  "Species" : ["DEVIL"],
  "FP" : "10", 
  "Size" : "G",
  "AC" : 17,
  "HP" : 105, 
  "Speed" : "",
  "Alignments" : ["7_LM"],
  "Legendary" : ""},
"Otyugh": {
  "Name" : "Otyugh",
  "VO" : "Otyugh",
  "Family" : "ABERRATION",
  "Species" : [""],
  "FP" : "5", 
  "Size" : "G",
  "AC" : 14,
  "HP" : 114, 
  "Speed" : "",
  "Alignments" : ["5_NN"],
  "Legendary" : ""},
"Ours brun": {
  "Name" : "Ours brun",
  "VO" : "Brown Bear",
  "Family" : "BEAST",
  "Species" : [""],
  "FP" : "1", 
  "Size" : "G",
  "AC" : 11,
  "HP" : 34, 
  "Speed" : "",
  "Alignments" : [],
  "Legendary" : ""},
"Ours noir": {
  "Name" : "Ours noir",
  "VO" : "Black Bear",
  "Family" : "BEAST",
  "Species" : [""],
  "FP" : "1/2", 
  "Size" : "M",
  "AC" : 11,
  "HP" : 19, 
  "Speed" : "",
  "Alignments" : [],
  "Legendary" : ""},
"Ours polaire": {
  "Name" : "Ours polaire",
  "VO" : "Polar Bear",
  "Family" : "BEAST",
  "Species" : [""],
  "FP" : "2", 
  "Size" : "G",
  "AC" : 12,
  "HP" : 42, 
  "Speed" : "nage",
  "Alignments" : [],
  "Legendary" : ""}</v>
      </c>
    </row>
    <row r="829" spans="1:16">
      <c r="N829" s="297"/>
      <c r="P829" t="str">
        <f>CONCATENATE(",
",P601,",
",P602,",
",P603,",
",P604,",
",P605,",
",P606,",
",P607,",
",P608,",
",P609,",
",P610,",
",P611,",
",P612,",
",P613,",
",P614,",
",P615,",
",P616,",
",P617,",
",P618,",
",P619,",
",P620,",
",P621,",
",P622,",
",P623,",
",P624,",
",P625,",
",P626,",
",P627,",
",P628,",
",P629,",
",P630,",
",P631,",
",P632,",
",P633,",
",P634,",
",P635,",
",P636,",
",P637,",
",P638,",
",P639,",
",P640,",
",P641,",
",P642,",
",P643,",
",P644,",
",P645,",
",P646,",
",P647,",
",P648,",
",P649,",
",P650,",
",P651,",
",P652,",
",P653,",
",P654,",
",P655,",
",P656,",
",P657,",
",P658,",
",P659,",
",P660,",
",P661,",
",P662,",
",P663,",
",P664,",
",P665,",
",P666,",
",P667,",
",P668,",
",P669,",
",P670,",
",P671,",
",P672,",
",P673,",
",P674,",
",P675,",
",P676,",
",P677,",
",P678,",
",P679,",
",P680,",
",P681,",
",P682,",
",P683,",
",P684,",
",P685,",
",P686,",
",P687,",
",P688,",
",P689,",
",P690,",
",P691,",
",P692,",
",P693,",
",P694,",
",P695,",
",P696,",
",P697,",
",P698,",
",P699,",
",P700)</f>
        <v>,
"Ours-garou": {
  "Name" : "Ours-garou",
  "VO" : "Werebear",
  "Family" : "HUMANOID",
  "Species" : ["HUMAN", "METAMORPH"],
  "FP" : "5", 
  "Size" : "M",
  "AC" : 10,
  "HP" : 135, 
  "Speed" : "",
  "Alignments" : ["2_NB"],
  "Legendary" : ""},
"Ours-hibou": {
  "Name" : "Ours-hibou",
  "VO" : "Owlbear",
  "Family" : "MONSTROUS_CREATURE",
  "Species" : [""],
  "FP" : "3", 
  "Size" : "G",
  "AC" : 13,
  "HP" : 59, 
  "Speed" : "",
  "Alignments" : [],
  "Legendary" : ""},
"Oxydeur": {
  "Name" : "Oxydeur",
  "VO" : "Rust Monster",
  "Family" : "MONSTROUS_CREATURE",
  "Species" : [""],
  "FP" : "1/2", 
  "Size" : "M",
  "AC" : 14,
  "HP" : 27, 
  "Speed" : "",
  "Alignments" : [],
  "Legendary" : ""},
"Panthère": {
  "Name" : "Panthère",
  "VO" : "Panther",
  "Family" : "BEAST",
  "Species" : [""],
  "FP" : "1/4", 
  "Size" : "M",
  "AC" : 12,
  "HP" : 13, 
  "Speed" : "",
  "Alignments" : [],
  "Legendary" : ""},
"Particules d'avarice": {
  "Name" : "Particules d'avarice",
  "VO" : "Greed Mote",
  "Family" : "MONSTROUS_CREATURE",
  "Species" : [""],
  "FP" : "1/2", 
  "Size" : "M",
  "AC" : 12,
  "HP" : 13, 
  "Speed" : "vol",
  "Alignments" : [],
  "Legendary" : ""},
"Patricien outre-mort": {
  "Name" : "Patricien outre-mort",
  "VO" : "Undying Councilor",
  "Family" : "UNDEAD",
  "Species" : [""],
  "FP" : "10", 
  "Size" : "M",
  "AC" : 17,
  "HP" : 104, 
  "Speed" : "",
  "Alignments" : ["2_NB"],
  "Legendary" : ""},
"Pégase": {
  "Name" : "Pégase",
  "VO" : "Pegasus",
  "Family" : "CELESTIAL",
  "Species" : [""],
  "FP" : "2", 
  "Size" : "G",
  "AC" : 12,
  "HP" : 59, 
  "Speed" : "vol",
  "Alignments" : ["3_CB"],
  "Legendary" : ""},
"Pentadrone": {
  "Name" : "Pentadrone",
  "VO" : "Pentadrone",
  "Family" : "ARTIFICIAL_CREATURE",
  "Species" : [""],
  "FP" : "2", 
  "Size" : "G",
  "AC" : 16,
  "HP" : 32, 
  "Speed" : "",
  "Alignments" : ["4_LN"],
  "Legendary" : ""},
"Perceur": {
  "Name" : "Perceur",
  "VO" : "Piercer",
  "Family" : "MONSTROUS_CREATURE",
  "Species" : [""],
  "FP" : "1/2", 
  "Size" : "M",
  "AC" : 15,
  "HP" : 22, 
  "Speed" : "",
  "Alignments" : [],
  "Legendary" : ""},
"Péryton": {
  "Name" : "Péryton",
  "VO" : "Peryton",
  "Family" : "MONSTROUS_CREATURE",
  "Species" : [""],
  "FP" : "2", 
  "Size" : "M",
  "AC" : 13,
  "HP" : 33, 
  "Speed" : "vol",
  "Alignments" : ["9_CM"],
  "Legendary" : ""},
"Pétriféré": {
  "Name" : "Pétriféré",
  "VO" : "Stone Cursed",
  "Family" : "ARTIFICIAL_CREATURE",
  "Species" : [""],
  "FP" : "1", 
  "Size" : "M",
  "AC" : 17,
  "HP" : 19, 
  "Speed" : "",
  "Alignments" : ["7_LM"],
  "Legendary" : ""},
"Phénix": {
  "Name" : "Phénix",
  "VO" : "Phoenix",
  "Family" : "ELEMENTARY",
  "Species" : [""],
  "FP" : "16", 
  "Size" : "Gig",
  "AC" : 18,
  "HP" : 175, 
  "Speed" : "vol",
  "Alignments" : ["5_NN"],
  "Legendary" : ""},
"Piégeur": {
  "Name" : "Piégeur",
  "VO" : "Trapper",
  "Family" : "MONSTROUS_CREATURE",
  "Species" : [""],
  "FP" : "3", 
  "Size" : "G",
  "AC" : 13,
  "HP" : 85, 
  "Speed" : "",
  "Alignments" : [],
  "Legendary" : ""},
"Pieuvre": {
  "Name" : "Pieuvre",
  "VO" : "Octopus",
  "Family" : "BEAST",
  "Species" : [""],
  "FP" : "0", 
  "Size" : "P",
  "AC" : 12,
  "HP" : 3, 
  "Speed" : "nage",
  "Alignments" : [],
  "Legendary" : ""},
"Pieuvre géante": {
  "Name" : "Pieuvre géante",
  "VO" : "Giant Octopus",
  "Family" : "BEAST",
  "Species" : [""],
  "FP" : "1", 
  "Size" : "G",
  "AC" : 11,
  "HP" : 52, 
  "Speed" : "nage",
  "Alignments" : [],
  "Legendary" : ""},
"Piranha": {
  "Name" : "Piranha",
  "VO" : "Quipper",
  "Family" : "BEAST",
  "Species" : [""],
  "FP" : "0", 
  "Size" : "TP",
  "AC" : 13,
  "HP" : 1, 
  "Speed" : "nage",
  "Alignments" : [],
  "Legendary" : ""},
"Pixie": {
  "Name" : "Pixie",
  "VO" : "Pixie",
  "Family" : "FAIRY",
  "Species" : [""],
  "FP" : "1/4", 
  "Size" : "TP",
  "AC" : 15,
  "HP" : 1, 
  "Speed" : "vol",
  "Alignments" : ["2_NB"],
  "Legendary" : ""},
"Planétar": {
  "Name" : "Planétar",
  "VO" : "Planetar",
  "Family" : "CELESTIAL",
  "Species" : [""],
  "FP" : "16", 
  "Size" : "G",
  "AC" : 19,
  "HP" : 200, 
  "Speed" : "vol",
  "Alignments" : ["1_LB"],
  "Legendary" : ""},
"Plésiosaure": {
  "Name" : "Plésiosaure",
  "VO" : "Plesiosaurus",
  "Family" : "BEAST",
  "Species" : [""],
  "FP" : "2", 
  "Size" : "G",
  "AC" : 13,
  "HP" : 68, 
  "Speed" : "nage",
  "Alignments" : [],
  "Legendary" : ""},
"Poing de Baine": {
  "Name" : "Poing de Baine",
  "VO" : "Fist of Bane",
  "Family" : "HUMANOID",
  "Species" : ["HUMAN"],
  "FP" : "1/2", 
  "Size" : "M",
  "AC" : 18,
  "HP" : 22, 
  "Speed" : "",
  "Alignments" : ["7_LM"],
  "Legendary" : ""},
"Poney": {
  "Name" : "Poney",
  "VO" : "Pony",
  "Family" : "BEAST",
  "Species" : [""],
  "FP" : "1/8", 
  "Size" : "M",
  "AC" : 10,
  "HP" : 11, 
  "Speed" : "",
  "Alignments" : [],
  "Legendary" : ""},
"Pouding noir": {
  "Name" : "Pouding noir",
  "VO" : "Black Pudding",
  "Family" : "MUD",
  "Species" : [""],
  "FP" : "4", 
  "Size" : "G",
  "AC" : 7,
  "HP" : 85, 
  "Speed" : "",
  "Alignments" : [],
  "Legendary" : ""},
"Prédateur d'acier": {
  "Name" : "Prédateur d'acier",
  "VO" : "Steel Predator",
  "Family" : "ARTIFICIAL_CREATURE",
  "Species" : [""],
  "FP" : "16", 
  "Size" : "G",
  "AC" : 20,
  "HP" : 207, 
  "Speed" : "",
  "Alignments" : ["7_LM"],
  "Legendary" : ""},
"Prestelet": {
  "Name" : "Prestelet",
  "VO" : "Quickling",
  "Family" : "FAIRY",
  "Species" : [""],
  "FP" : "1", 
  "Size" : "TP",
  "AC" : 16,
  "HP" : 10, 
  "Speed" : "",
  "Alignments" : ["9_CM"],
  "Legendary" : ""},
"Prêtre": {
  "Name" : "Prêtre",
  "VO" : "Priest",
  "Family" : "HUMANOID",
  "Species" : [""],
  "FP" : "2", 
  "Size" : "M",
  "AC" : 13,
  "HP" : 27, 
  "Speed" : "",
  "Alignments" : ["1_LB", "2_NB", "3_CB", "4_LN", "5_NN", "6_CN", "7_LM", "8_NM", "9_CM"],
  "Legendary" : ""},
"Prêtre de guerre": {
  "Name" : "Prêtre de guerre",
  "VO" : "War priest",
  "Family" : "HUMANOID",
  "Species" : [""],
  "FP" : "9", 
  "Size" : "M",
  "AC" : 18,
  "HP" : 117, 
  "Speed" : "",
  "Alignments" : ["1_LB", "2_NB", "3_CB", "4_LN", "5_NN", "6_CN", "7_LM", "8_NM", "9_CM"],
  "Legendary" : ""},
"Prêtre du kraken": {
  "Name" : "Prêtre du kraken",
  "VO" : "Kraken Priest",
  "Family" : "HUMANOID",
  "Species" : [""],
  "FP" : "5", 
  "Size" : "M",
  "AC" : 10,
  "HP" : 75, 
  "Speed" : "nage",
  "Alignments" : ["7_LM", "8_NM", "9_CM"],
  "Legendary" : ""},
"Protecteur de fer": {
  "Name" : "Protecteur de fer",
  "VO" : "Iron Defender",
  "Family" : "ARTIFICIAL_CREATURE",
  "Species" : [""],
  "FP" : "1", 
  "Size" : "M",
  "AC" : 17,
  "HP" : 30, 
  "Speed" : "",
  "Alignments" : ["5_NN"],
  "Legendary" : ""},
"Pseudodragon": {
  "Name" : "Pseudodragon",
  "VO" : "Pseudodragon",
  "Family" : "DRAGON",
  "Species" : [""],
  "FP" : "1/4", 
  "Size" : "TP",
  "AC" : 13,
  "HP" : 7, 
  "Speed" : "vol",
  "Alignments" : ["2_NB"],
  "Legendary" : ""},
"Ptéranodon": {
  "Name" : "Ptéranodon",
  "VO" : "Pteranodon",
  "Family" : "BEAST",
  "Species" : [""],
  "FP" : "1/4", 
  "Size" : "M",
  "AC" : 13,
  "HP" : 13, 
  "Speed" : "vol",
  "Alignments" : [],
  "Legendary" : ""},
"Punaise de feu géante": {
  "Name" : "Punaise de feu géante",
  "VO" : "Giant Fire Beetle",
  "Family" : "BEAST",
  "Species" : [""],
  "FP" : "0", 
  "Size" : "P",
  "AC" : 13,
  "HP" : 4, 
  "Speed" : "",
  "Alignments" : [],
  "Legendary" : ""},
"Quadrone": {
  "Name" : "Quadrone",
  "VO" : "Quadrone",
  "Family" : "ARTIFICIAL_CREATURE",
  "Species" : [""],
  "FP" : "1", 
  "Size" : "M",
  "AC" : 16,
  "HP" : 22, 
  "Speed" : "vol",
  "Alignments" : ["4_LN"],
  "Legendary" : ""},
"Quaggoth": {
  "Name" : "Quaggoth",
  "VO" : "Quaggoth",
  "Family" : "HUMANOID",
  "Species" : ["QUAGGOTH"],
  "FP" : "2", 
  "Size" : "M",
  "AC" : 13,
  "HP" : 45, 
  "Speed" : "",
  "Alignments" : ["6_CN"],
  "Legendary" : ""},
"Quaggoth, serviteur des spores": {
  "Name" : "Quaggoth, serviteur des spores",
  "VO" : "Quaggoth spore servant",
  "Family" : "PLANT",
  "Species" : [""],
  "FP" : "1", 
  "Size" : "M",
  "AC" : 13,
  "HP" : 45, 
  "Speed" : "",
  "Alignments" : [],
  "Legendary" : ""},
"Quasit": {
  "Name" : "Quasit",
  "VO" : "Quasit",
  "Family" : "FIEND",
  "Species" : ["DAEMON", "METAMORPH"],
  "FP" : "1", 
  "Size" : "TP",
  "AC" : 13,
  "HP" : 7, 
  "Speed" : "",
  "Alignments" : ["9_CM"],
  "Legendary" : ""},
"Quetzalcoatlus": {
  "Name" : "Quetzalcoatlus",
  "VO" : "Quetzalcoatlus",
  "Family" : "BEAST",
  "Species" : [""],
  "FP" : "2", 
  "Size" : "TG",
  "AC" : 13,
  "HP" : 30, 
  "Speed" : "vol",
  "Alignments" : [],
  "Legendary" : ""},
"Quorien hashalaq": {
  "Name" : "Quorien hashalaq",
  "VO" : "Hashalaq Quori",
  "Family" : "ABERRATION",
  "Species" : [""],
  "FP" : "9", 
  "Size" : "M",
  "AC" : 17,
  "HP" : 99, 
  "Speed" : "",
  "Alignments" : ["7_LM"],
  "Legendary" : ""},
"Quorien kalaraq": {
  "Name" : "Quorien kalaraq",
  "VO" : "Kalaraq Quori",
  "Family" : "ABERRATION",
  "Species" : [""],
  "FP" : "19", 
  "Size" : "M",
  "AC" : 18,
  "HP" : 161, 
  "Speed" : "vol",
  "Alignments" : ["7_LM"],
  "Legendary" : ""},
"Quorien tsucora": {
  "Name" : "Quorien tsucora",
  "VO" : "Tsucora Quori",
  "Family" : "ABERRATION",
  "Species" : [""],
  "FP" : "7", 
  "Size" : "M",
  "AC" : 16,
  "HP" : 68, 
  "Speed" : "",
  "Alignments" : ["7_LM"],
  "Legendary" : ""},
"Radiant Idol": {
  "Name" : "Radiant Idol",
  "VO" : "Radiant Idol",
  "Family" : "CELESTIAL",
  "Species" : [""],
  "FP" : "11", 
  "Size" : "G",
  "AC" : 18,
  "HP" : 142, 
  "Speed" : "",
  "Alignments" : ["7_LM"],
  "Legendary" : ""},
"Raie manta de récif": {
  "Name" : "Raie manta de récif",
  "VO" : "Reef Manta Ray",
  "Family" : "BEAST",
  "Species" : [""],
  "FP" : "1/2", 
  "Size" : "G",
  "AC" : 12,
  "HP" : 16, 
  "Speed" : "nage",
  "Alignments" : [],
  "Legendary" : ""},
"Rak Tulkhesh": {
  "Name" : "Rak Tulkhesh",
  "VO" : "Rak Tulkhesh",
  "Family" : "FIEND",
  "Species" : [""],
  "FP" : "28", 
  "Size" : "TG",
  "AC" : 23,
  "HP" : 478, 
  "Speed" : "vol",
  "Alignments" : ["8_NM"],
  "Legendary" : ""},
"Rakshasa": {
  "Name" : "Rakshasa",
  "VO" : "Rakshasa",
  "Family" : "FIEND",
  "Species" : [""],
  "FP" : "13", 
  "Size" : "M",
  "AC" : 16,
  "HP" : 110, 
  "Speed" : "",
  "Alignments" : ["7_LM"],
  "Legendary" : ""},
"Rakshasa, zakya": {
  "Name" : "Rakshasa, zakya",
  "VO" : "Zakya Rakshasa",
  "Family" : "FIEND",
  "Species" : [""],
  "FP" : "5", 
  "Size" : "M",
  "AC" : 18,
  "HP" : 59, 
  "Speed" : "",
  "Alignments" : ["7_LM"],
  "Legendary" : ""},
"Ramasseur de cadavres": {
  "Name" : "Ramasseur de cadavres",
  "VO" : "Cadaver Collector",
  "Family" : "ARTIFICIAL_CREATURE",
  "Species" : [""],
  "FP" : "14", 
  "Size" : "G",
  "AC" : 17,
  "HP" : 189, 
  "Speed" : "",
  "Alignments" : ["7_LM"],
  "Legendary" : ""},
"Rat": {
  "Name" : "Rat",
  "VO" : "Rat",
  "Family" : "BEAST",
  "Species" : [""],
  "FP" : "0", 
  "Size" : "TP",
  "AC" : 10,
  "HP" : 1, 
  "Speed" : "",
  "Alignments" : [],
  "Legendary" : ""},
"Rat géant": {
  "Name" : "Rat géant",
  "VO" : "Giant Rat",
  "Family" : "BEAST",
  "Species" : [""],
  "FP" : "1/8", 
  "Size" : "P",
  "AC" : 12,
  "HP" : 7, 
  "Speed" : "",
  "Alignments" : [],
  "Legendary" : ""},
"Rat-crâne": {
  "Name" : "Rat-crâne",
  "VO" : "Cranium Rat",
  "Family" : "BEAST",
  "Species" : [""],
  "FP" : "0", 
  "Size" : "TP",
  "AC" : 12,
  "HP" : 2, 
  "Speed" : "",
  "Alignments" : ["7_LM"],
  "Legendary" : ""},
"Rat-garou": {
  "Name" : "Rat-garou",
  "VO" : "Wererat",
  "Family" : "HUMANOID",
  "Species" : ["HUMAN", "METAMORPH"],
  "FP" : "2", 
  "Size" : "M",
  "AC" : 12,
  "HP" : 33, 
  "Speed" : "",
  "Alignments" : ["7_LM"],
  "Legendary" : ""},
"Ravageur gris": {
  "Name" : "Ravageur gris",
  "VO" : "Gray Render",
  "Family" : "MONSTROUS_CREATURE",
  "Species" : [""],
  "FP" : "12", 
  "Size" : "G",
  "AC" : 19,
  "HP" : 189, 
  "Speed" : "",
  "Alignments" : ["6_CN"],
  "Legendary" : ""},
"Rejeton de Kyuss": {
  "Name" : "Rejeton de Kyuss",
  "VO" : "Spawn of Kyuss",
  "Family" : "UNDEAD",
  "Species" : [""],
  "FP" : "5", 
  "Size" : "M",
  "AC" : 10,
  "HP" : 76, 
  "Speed" : "",
  "Alignments" : ["9_CM"],
  "Legendary" : ""},
"Rejeton des abîmes": {
  "Name" : "Rejeton des abîmes",
  "VO" : "Deep Scion",
  "Family" : "HUMANOID",
  "Species" : ["METAMORPH"],
  "FP" : "3", 
  "Size" : "M",
  "AC" : 11,
  "HP" : 67, 
  "Speed" : "nage",
  "Alignments" : ["8_NM"],
  "Legendary" : ""},
"Rejeton des mers": {
  "Name" : "Rejeton des mers",
  "VO" : "Sea Spawn",
  "Family" : "HUMANOID",
  "Species" : [""],
  "FP" : "1", 
  "Size" : "M",
  "AC" : 11,
  "HP" : 32, 
  "Speed" : "nage",
  "Alignments" : ["8_NM"],
  "Legendary" : ""},
"Rejeton des profondeurs, émissaire": {
  "Name" : "Rejeton des profondeurs, émissaire",
  "VO" : "Core Spawn Emissary",
  "Family" : "ABERRATION",
  "Species" : [""],
  "FP" : "6", 
  "Size" : "M",
  "AC" : 15,
  "HP" : 102, 
  "Speed" : "vol",
  "Alignments" : ["8_NM"],
  "Legendary" : ""},
"Rejeton des profondeurs, prophète": {
  "Name" : "Rejeton des profondeurs, prophète",
  "VO" : "Core Spawn Seer",
  "Family" : "ABERRATION",
  "Species" : [""],
  "FP" : "13", 
  "Size" : "M",
  "AC" : 17,
  "HP" : 153, 
  "Speed" : "",
  "Alignments" : ["9_CM"],
  "Legendary" : ""},
"Rejeton des profondeurs, ver": {
  "Name" : "Rejeton des profondeurs, ver",
  "VO" : "Core Spawn Worm",
  "Family" : "ABERRATION",
  "Species" : [""],
  "FP" : "15", 
  "Size" : "Gig",
  "AC" : 18,
  "HP" : 279, 
  "Speed" : "",
  "Alignments" : ["9_CM"],
  "Legendary" : ""},
"Rejeton des profondeurs, vermine": {
  "Name" : "Rejeton des profondeurs, vermine",
  "VO" : "Core Spawn Crawler",
  "Family" : "ABERRATION",
  "Species" : [""],
  "FP" : "1", 
  "Size" : "P",
  "AC" : 12,
  "HP" : 21, 
  "Speed" : "",
  "Alignments" : ["9_CM"],
  "Legendary" : ""},
"Rejeton stellaire, colosse": {
  "Name" : "Rejeton stellaire, colosse",
  "VO" : "Star Spawn Hulk",
  "Family" : "ABERRATION",
  "Species" : [""],
  "FP" : "10", 
  "Size" : "G",
  "AC" : 16,
  "HP" : 136, 
  "Speed" : "",
  "Alignments" : ["9_CM"],
  "Legendary" : ""},
"Rejeton stellaire, frissonneur": {
  "Name" : "Rejeton stellaire, frissonneur",
  "VO" : "Star Spawn Grue",
  "Family" : "ABERRATION",
  "Species" : [""],
  "FP" : "1/4", 
  "Size" : "P",
  "AC" : 11,
  "HP" : 17, 
  "Speed" : "",
  "Alignments" : ["8_NM"],
  "Legendary" : ""},
"Rejeton stellaire, mage des larves": {
  "Name" : "Rejeton stellaire, mage des larves",
  "VO" : "Star Spawn Larva Mage",
  "Family" : "ABERRATION",
  "Species" : [""],
  "FP" : "16", 
  "Size" : "M",
  "AC" : 16,
  "HP" : 168, 
  "Speed" : "",
  "Alignments" : ["9_CM"],
  "Legendary" : ""},
"Rejeton stellaire, mutileur": {
  "Name" : "Rejeton stellaire, mutileur",
  "VO" : "Star Spawn Mangler",
  "Family" : "ABERRATION",
  "Species" : [""],
  "FP" : "5", 
  "Size" : "M",
  "AC" : 14,
  "HP" : 71, 
  "Speed" : "",
  "Alignments" : ["9_CM"],
  "Legendary" : ""},
"Rejeton stellaire, prophète": {
  "Name" : "Rejeton stellaire, prophète",
  "VO" : "Star Spawn Seer",
  "Family" : "ABERRATION",
  "Species" : [""],
  "FP" : "13", 
  "Size" : "M",
  "AC" : 17,
  "HP" : 153, 
  "Speed" : "",
  "Alignments" : ["8_NM"],
  "Legendary" : ""},
"Rémorhaz": {
  "Name" : "Rémorhaz",
  "VO" : "Remorhaz",
  "Family" : "MONSTROUS_CREATURE",
  "Species" : [""],
  "FP" : "11", 
  "Size" : "TG",
  "AC" : 17,
  "HP" : 195, 
  "Speed" : "",
  "Alignments" : [],
  "Legendary" : ""},
"Rémorhaz, jeune": {
  "Name" : "Rémorhaz, jeune",
  "VO" : "Young Remorhaz",
  "Family" : "MONSTROUS_CREATURE",
  "Species" : [""],
  "FP" : "5", 
  "Size" : "G",
  "AC" : 14,
  "HP" : 93, 
  "Speed" : "",
  "Alignments" : [],
  "Legendary" : ""},
"Requin de récif": {
  "Name" : "Requin de récif",
  "VO" : "Reef Shark",
  "Family" : "BEAST",
  "Species" : [""],
  "FP" : "1/2", 
  "Size" : "M",
  "AC" : 12,
  "HP" : 22, 
  "Speed" : "nage",
  "Alignments" : [],
  "Legendary" : ""},
"Requin géant": {
  "Name" : "Requin géant",
  "VO" : "Giant Shark",
  "Family" : "BEAST",
  "Species" : [""],
  "FP" : "5", 
  "Size" : "TG",
  "AC" : 13,
  "HP" : 126, 
  "Speed" : "nage",
  "Alignments" : [],
  "Legendary" : ""},
"Requin-chasseur": {
  "Name" : "Requin-chasseur",
  "VO" : "Hunter Shark",
  "Family" : "BEAST",
  "Species" : [""],
  "FP" : "2", 
  "Size" : "G",
  "AC" : 12,
  "HP" : 45, 
  "Speed" : "nage",
  "Alignments" : [],
  "Legendary" : ""},
"Résineux infecté": {
  "Name" : "Résineux infecté",
  "VO" : "Needle Blight",
  "Family" : "PLANT",
  "Species" : [""],
  "FP" : "1/4", 
  "Size" : "M",
  "AC" : 12,
  "HP" : 11, 
  "Speed" : "",
  "Alignments" : ["8_NM"],
  "Legendary" : ""},
"Revenant": {
  "Name" : "Revenant",
  "VO" : "Revenant",
  "Family" : "UNDEAD",
  "Species" : [""],
  "FP" : "5", 
  "Size" : "M",
  "AC" : 13,
  "HP" : 136, 
  "Speed" : "",
  "Alignments" : ["5_NN"],
  "Legendary" : ""},
"Rhinocéros": {
  "Name" : "Rhinocéros",
  "VO" : "Rhinoceros",
  "Family" : "BEAST",
  "Species" : [""],
  "FP" : "2", 
  "Size" : "G",
  "AC" : 11,
  "HP" : 45, 
  "Speed" : "",
  "Alignments" : [],
  "Legendary" : ""},
"Roc": {
  "Name" : "Roc",
  "VO" : "Roc",
  "Family" : "MONSTROUS_CREATURE",
  "Species" : [""],
  "FP" : "11", 
  "Size" : "Gig",
  "AC" : 15,
  "HP" : 248, 
  "Speed" : "vol",
  "Alignments" : [],
  "Legendary" : ""},
"Roi-reine lézard": {
  "Name" : "Roi-reine lézard",
  "VO" : "Lizard King/Queen",
  "Family" : "HUMANOID",
  "Species" : ["LIZARD_MAN"],
  "FP" : "4", 
  "Size" : "M",
  "AC" : 15,
  "HP" : 78, 
  "Speed" : "nage",
  "Alignments" : ["9_CM"],
  "Legendary" : ""},
"Rothé zombi": {
  "Name" : "Rothé zombi",
  "VO" : "Rothé Zombie",
  "Family" : "UNDEAD",
  "Species" : [""],
  "FP" : "1/2", 
  "Size" : "G",
  "AC" : 8,
  "HP" : 22, 
  "Speed" : "",
  "Alignments" : ["8_NM"],
  "Legendary" : ""},
"Roturier": {
  "Name" : "Roturier",
  "VO" : "Commoner",
  "Family" : "HUMANOID",
  "Species" : [""],
  "FP" : "0", 
  "Size" : "M",
  "AC" : 10,
  "HP" : 4, 
  "Speed" : "",
  "Alignments" : ["1_LB", "2_NB", "3_CB", "4_LN", "5_NN", "6_CN", "7_LM", "8_NM", "9_CM"],
  "Legendary" : ""},
"Rotz": {
  "Name" : "Rotz",
  "VO" : "Rotz",
  "Family" : "HUMANOID",
  "Species" : ["HUMAN"],
  "FP" : "2", 
  "Size" : "M",
  "AC" : 13,
  "HP" : 33, 
  "Speed" : "",
  "Alignments" : ["8_NM"],
  "Legendary" : ""},
"Rutterkin": {
  "Name" : "Rutterkin",
  "VO" : "Rutterkin",
  "Family" : "FIEND",
  "Species" : ["DAEMON"],
  "FP" : "2", 
  "Size" : "M",
  "AC" : 12,
  "HP" : 37, 
  "Speed" : "",
  "Alignments" : ["9_CM"],
  "Legendary" : ""},
"Sahuagin": {
  "Name" : "Sahuagin",
  "VO" : "Sahuagin",
  "Family" : "HUMANOID",
  "Species" : ["SAHUAGIN"],
  "FP" : "1/2", 
  "Size" : "M",
  "AC" : 12,
  "HP" : 22, 
  "Speed" : "nage",
  "Alignments" : ["7_LM"],
  "Legendary" : ""},
"Sahuagin, baron": {
  "Name" : "Sahuagin, baron",
  "VO" : "Sahuagin Baron",
  "Family" : "HUMANOID",
  "Species" : ["SAHUAGIN"],
  "FP" : "5", 
  "Size" : "G",
  "AC" : 16,
  "HP" : 76, 
  "Speed" : "nage",
  "Alignments" : ["7_LM"],
  "Legendary" : ""},
"Sahuagin, prêtresse": {
  "Name" : "Sahuagin, prêtresse",
  "VO" : "Sahuagin Priestess",
  "Family" : "HUMANOID",
  "Species" : ["SAHUAGIN"],
  "FP" : "2", 
  "Size" : "M",
  "AC" : 12,
  "HP" : 33, 
  "Speed" : "nage",
  "Alignments" : ["7_LM"],
  "Legendary" : ""},
"Sahuagin, sorcier d'Uk'otoa": {
  "Name" : "Sahuagin, sorcier d'Uk'otoa",
  "VO" : "Sahuagin, warlock of Uk'otoa",
  "Family" : "HUMANOID",
  "Species" : ["SAHUAGIN"],
  "FP" : "3", 
  "Size" : "M",
  "AC" : 14,
  "HP" : 22, 
  "Speed" : "nage",
  "Alignments" : ["8_NM"],
  "Legendary" : ""},
"Salamandre": {
  "Name" : "Salamandre",
  "VO" : "Salamander",
  "Family" : "ELEMENTARY",
  "Species" : [""],
  "FP" : "5", 
  "Size" : "G",
  "AC" : 15,
  "HP" : 90, 
  "Speed" : "",
  "Alignments" : ["8_NM"],
  "Legendary" : ""},
"Salamandre du givre": {
  "Name" : "Salamandre du givre",
  "VO" : "Frost Salamander",
  "Family" : "ELEMENTARY",
  "Species" : [""],
  "FP" : "9", 
  "Size" : "TG",
  "AC" : 17,
  "HP" : 168, 
  "Speed" : "",
  "Alignments" : [],
  "Legendary" : ""},
"Sanglier": {
  "Name" : "Sanglier",
  "VO" : "Boar",
  "Family" : "BEAST",
  "Species" : [""],
  "FP" : "1/4", 
  "Size" : "M",
  "AC" : 11,
  "HP" : 11, 
  "Speed" : "",
  "Alignments" : [],
  "Legendary" : ""},
"Sanglier géant": {
  "Name" : "Sanglier géant",
  "VO" : "Giant Boar",
  "Family" : "BEAST",
  "Species" : [""],
  "FP" : "2", 
  "Size" : "G",
  "AC" : 12,
  "HP" : 42, 
  "Speed" : "",
  "Alignments" : [],
  "Legendary" : ""},
"Sanglier-garou": {
  "Name" : "Sanglier-garou",
  "VO" : "Wereboar",
  "Family" : "HUMANOID",
  "Species" : ["HUMAN", "METAMORPH"],
  "FP" : "4", 
  "Size" : "M",
  "AC" : 10,
  "HP" : 78, 
  "Speed" : "",
  "Alignments" : ["8_NM"],
  "Legendary" : ""},
"Sanuya": {
  "Name" : "Sanuya",
  "VO" : "Sanuya",
  "Family" : "HUMANOID",
  "Species" : ["HUMAN"],
  "FP" : "1", 
  "Size" : "M",
  "AC" : 12,
  "HP" : 22, 
  "Speed" : "",
  "Alignments" : ["7_LM"],
  "Legendary" : ""},
"Satyre": {
  "Name" : "Satyre",
  "VO" : "Satyr",
  "Family" : "FAIRY",
  "Species" : [""],
  "FP" : "1/2", 
  "Size" : "M",
  "AC" : 14,
  "HP" : 31, 
  "Speed" : "",
  "Alignments" : ["6_CN"],
  "Legendary" : ""},
"Sauteur géant": {
  "Name" : "Sauteur géant",
  "VO" : "Giant Strider",
  "Family" : "MONSTROUS_CREATURE",
  "Species" : [""],
  "FP" : "1", 
  "Size" : "G",
  "AC" : 14,
  "HP" : 22, 
  "Speed" : "",
  "Alignments" : ["8_NM"],
  "Legendary" : ""},
"Scorpion": {
  "Name" : "Scorpion",
  "VO" : "Scorpion",
  "Family" : "BEAST",
  "Species" : [""],
  "FP" : "0", 
  "Size" : "TP",
  "AC" : 11,
  "HP" : 1, 
  "Speed" : "",
  "Alignments" : [],
  "Legendary" : ""},
"Scorpion géant": {
  "Name" : "Scorpion géant",
  "VO" : "Giant Scorpion",
  "Family" : "BEAST",
  "Species" : [""],
  "FP" : "3", 
  "Size" : "G",
  "AC" : 15,
  "HP" : 52, 
  "Speed" : "",
  "Alignments" : [],
  "Legendary" : ""},
"Seigneur de guerre": {
  "Name" : "Seigneur de guerre",
  "VO" : "Warlord",
  "Family" : "HUMANOID",
  "Species" : [""],
  "FP" : "12", 
  "Size" : "M",
  "AC" : 18,
  "HP" : 229, 
  "Speed" : "",
  "Alignments" : ["1_LB", "2_NB", "3_CB", "4_LN", "5_NN", "6_CN", "7_LM", "8_NM", "9_CM"],
  "Legendary" : "Légendaire"},
"Seigneur des crânes": {
  "Name" : "Seigneur des crânes",
  "VO" : "Skull Lord",
  "Family" : "UNDEAD",
  "Species" : [""],
  "FP" : "15", 
  "Size" : "M",
  "AC" : 18,
  "HP" : 105, 
  "Speed" : "",
  "Alignments" : ["7_LM"],
  "Legendary" : ""},
"Seigneur momie": {
  "Name" : "Seigneur momie",
  "VO" : "Mummy Lord",
  "Family" : "UNDEAD",
  "Species" : [""],
  "FP" : "15", 
  "Size" : "M",
  "AC" : 17,
  "HP" : 97, 
  "Speed" : "",
  "Alignments" : ["7_LM"],
  "Legendary" : "Légendaire"},
"Selkie": {
  "Name" : "Selkie",
  "VO" : "Selkie",
  "Family" : "HUMANOID",
  "Species" : ["HUMAN", "METAMORPH"],
  "FP" : "2", 
  "Size" : "M",
  "AC" : 13,
  "HP" : 33, 
  "Speed" : "nage",
  "Alignments" : ["6_CN"],
  "Legendary" : ""},
"Sentinelle d'eau": {
  "Name" : "Sentinelle d'eau",
  "VO" : "Water Weird",
  "Family" : "ELEMENTARY",
  "Species" : [""],
  "FP" : "3", 
  "Size" : "G",
  "AC" : 13,
  "HP" : 58, 
  "Speed" : "nage",
  "Alignments" : ["5_NN"],
  "Legendary" : ""},
"Serpent constricteur": {
  "Name" : "Serpent constricteur",
  "VO" : "Constrictor Snake",
  "Family" : "BEAST",
  "Species" : [""],
  "FP" : "1/4", 
  "Size" : "G",
  "AC" : 12,
  "HP" : 13, 
  "Speed" : "nage",
  "Alignments" : [],
  "Legendary" : ""},
"Serpent constricteur géant": {
  "Name" : "Serpent constricteur géant",
  "VO" : "Giant Constrictor Snake",
  "Family" : "BEAST",
  "Species" : [""],
  "FP" : "2", 
  "Size" : "TG",
  "AC" : 12,
  "HP" : 60, 
  "Speed" : "nage",
  "Alignments" : [],
  "Legendary" : ""},
"Serpent de feu": {
  "Name" : "Serpent de feu",
  "VO" : "Fire Snake",
  "Family" : "ELEMENTARY",
  "Species" : [""],
  "FP" : "1", 
  "Size" : "M",
  "AC" : 14,
  "HP" : 22, 
  "Speed" : "",
  "Alignments" : ["8_NM"],
  "Legendary" : ""},
"Serpent venimeux": {
  "Name" : "Serpent venimeux",
  "VO" : "Poisonous Snake",
  "Family" : "BEAST",
  "Species" : [""],
  "FP" : "1/8", 
  "Size" : "TP",
  "AC" : 13,
  "HP" : 2, 
  "Speed" : "nage",
  "Alignments" : [],
  "Legendary" : ""},
"Serpent venimeux géant": {
  "Name" : "Serpent venimeux géant",
  "VO" : "Giant Poisonous Snake",
  "Family" : "BEAST",
  "Species" : [""],
  "FP" : "1/4", 
  "Size" : "M",
  "AC" : 14,
  "HP" : 11, 
  "Speed" : "nage",
  "Alignments" : [],
  "Legendary" : ""}</v>
      </c>
    </row>
    <row r="830" spans="1:16">
      <c r="N830" s="297"/>
      <c r="P830" t="str">
        <f>CONCATENATE(",
",P701,",
",P702,",
",P703,",
",P704,",
",P705,",
",P706,",
",P707,",
",P708,",
",P709,",
",P710,",
",P711,",
",P712,",
",P713,",
",P714,",
",P715,",
",P716,",
",P717,",
",P718,",
",P719,",
",P720,",
",P721,",
",P722,",
",P723,",
",P724,",
",P725,",
",P726,",
",P727,",
",P728,",
",P729,",
",P730,",
",P731,",
",P732,",
",P733,",
",P734,",
",P735,",
",P736,",
",P737,",
",P738,",
",P739,",
",P740,",
",P741,",
",P742,",
",P743,",
",P744,",
",P745,",
",P746,",
",P747,",
",P748,",
",P749,",
",P750,",
",P751,",
",P752,",
",P753,",
",P754,",
",P755,",
",P756,",
",P757,",
",P758,",
",P759,",
",P760,",
",P761,",
",P762,",
",P763,",
",P764,",
",P765,",
",P766,",
",P767,",
",P768,",
",P769,",
",P770,",
",P771,",
",P772,",
",P773,",
",P774,",
",P775,",
",P776,",
",P777,",
",P778,",
",P779,",
",P780,",
",P781,",
",P782,",
",P783,",
",P784,",
",P785,",
",P786,",
",P787,",
",P788,",
",P789,",
",P790,",
",P791,",
",P792,",
",P793,",
",P794,",
",P795,",
",P796,",
",P797,",
",P798,",
",P799,",
",P800)</f>
        <v>,
"Serpent volant": {
  "Name" : "Serpent volant",
  "VO" : "Flying Snake",
  "Family" : "BEAST",
  "Species" : [""],
  "FP" : "1/8", 
  "Size" : "TP",
  "AC" : 14,
  "HP" : 5, 
  "Speed" : "vol, nage",
  "Alignments" : [],
  "Legendary" : ""},
"Shadar-kai, danseur des ombres": {
  "Name" : "Shadar-kai, danseur des ombres",
  "VO" : "Shadow Dancer",
  "Family" : "HUMANOID",
  "Species" : ["ELF"],
  "FP" : "7", 
  "Size" : "M",
  "AC" : 15,
  "HP" : 71, 
  "Speed" : "",
  "Alignments" : ["5_NN"],
  "Legendary" : ""},
"Shadar-kai, marchand d'âmes": {
  "Name" : "Shadar-kai, marchand d'âmes",
  "VO" : "Soul Monger",
  "Family" : "HUMANOID",
  "Species" : ["ELF"],
  "FP" : "11", 
  "Size" : "M",
  "AC" : 15,
  "HP" : 123, 
  "Speed" : "",
  "Alignments" : ["5_NN"],
  "Legendary" : ""},
"Shadar-kai, tisse-ombre": {
  "Name" : "Shadar-kai, tisse-ombre",
  "VO" : "Gloom Weaver",
  "Family" : "HUMANOID",
  "Species" : ["ELF"],
  "FP" : "9", 
  "Size" : "M",
  "AC" : 14,
  "HP" : 104, 
  "Speed" : "",
  "Alignments" : ["5_NN"],
  "Legendary" : ""},
"Shoosuva": {
  "Name" : "Shoosuva",
  "VO" : "Shoosuva",
  "Family" : "FIEND",
  "Species" : ["DAEMON"],
  "FP" : "8", 
  "Size" : "G",
  "AC" : 14,
  "HP" : 110, 
  "Speed" : "",
  "Alignments" : ["9_CM"],
  "Legendary" : ""},
"Sibriex": {
  "Name" : "Sibriex",
  "VO" : "Sibriex",
  "Family" : "FIEND",
  "Species" : ["DAEMON"],
  "FP" : "18", 
  "Size" : "TG",
  "AC" : 19,
  "HP" : 150, 
  "Speed" : "vol",
  "Alignments" : ["9_CM"],
  "Legendary" : "Légendaire"},
"Singe géant": {
  "Name" : "Singe géant",
  "VO" : "Giant Ape",
  "Family" : "BEAST",
  "Species" : [""],
  "FP" : "7", 
  "Size" : "TG",
  "AC" : 12,
  "HP" : 157, 
  "Speed" : "",
  "Alignments" : [],
  "Legendary" : ""},
"Slaad bleu": {
  "Name" : "Slaad bleu",
  "VO" : "Blue Slaad",
  "Family" : "ABERRATION",
  "Species" : [""],
  "FP" : "7", 
  "Size" : "G",
  "AC" : 15,
  "HP" : 123, 
  "Speed" : "",
  "Alignments" : ["6_CN"],
  "Legendary" : ""},
"Slaad funeste": {
  "Name" : "Slaad funeste",
  "VO" : "Death Slaad",
  "Family" : "ABERRATION",
  "Species" : ["METAMORPH"],
  "FP" : "10", 
  "Size" : "M",
  "AC" : 18,
  "HP" : 170, 
  "Speed" : "",
  "Alignments" : ["9_CM"],
  "Legendary" : ""},
"Slaad gris": {
  "Name" : "Slaad gris",
  "VO" : "Gray Slaad",
  "Family" : "ABERRATION",
  "Species" : ["METAMORPH"],
  "FP" : "9", 
  "Size" : "M",
  "AC" : 18,
  "HP" : 127, 
  "Speed" : "",
  "Alignments" : ["6_CN"],
  "Legendary" : ""},
"Slaad rouge": {
  "Name" : "Slaad rouge",
  "VO" : "Red Slaad",
  "Family" : "ABERRATION",
  "Species" : [""],
  "FP" : "5", 
  "Size" : "G",
  "AC" : 14,
  "HP" : 93, 
  "Speed" : "",
  "Alignments" : ["6_CN"],
  "Legendary" : ""},
"Slaad vert": {
  "Name" : "Slaad vert",
  "VO" : "Green Slaad",
  "Family" : "ABERRATION",
  "Species" : ["METAMORPH"],
  "FP" : "8", 
  "Size" : "G",
  "AC" : 16,
  "HP" : 127, 
  "Speed" : "",
  "Alignments" : ["6_CN"],
  "Legendary" : ""},
"Slaad, têtard": {
  "Name" : "Slaad, têtard",
  "VO" : "Slaad Tadpole",
  "Family" : "ABERRATION",
  "Species" : [""],
  "FP" : "1/8", 
  "Size" : "TP",
  "AC" : 12,
  "HP" : 10, 
  "Speed" : "",
  "Alignments" : ["6_CN"],
  "Legendary" : ""},
"Solar": {
  "Name" : "Solar",
  "VO" : "Solar",
  "Family" : "CELESTIAL",
  "Species" : [""],
  "FP" : "21", 
  "Size" : "G",
  "AC" : 21,
  "HP" : 243, 
  "Speed" : "vol",
  "Alignments" : ["1_LB"],
  "Legendary" : "Légendaire"},
"Soldat karrnathien mort-vivant": {
  "Name" : "Soldat karrnathien mort-vivant",
  "VO" : "Karrnathi Undead Soldier",
  "Family" : "UNDEAD",
  "Species" : [""],
  "FP" : "3", 
  "Size" : "M",
  "AC" : 17,
  "HP" : 52, 
  "Speed" : "",
  "Alignments" : ["7_LM"],
  "Legendary" : ""},
"Soldat outre-mort": {
  "Name" : "Soldat outre-mort",
  "VO" : "Undying Soldier",
  "Family" : "UNDEAD",
  "Species" : [""],
  "FP" : "2", 
  "Size" : "M",
  "AC" : 17,
  "HP" : 26, 
  "Speed" : "",
  "Alignments" : ["2_NB"],
  "Legendary" : ""},
"Sombrelin": {
  "Name" : "Sombrelin",
  "VO" : "Darkling",
  "Family" : "FAIRY",
  "Species" : [""],
  "FP" : "1/2", 
  "Size" : "P",
  "AC" : 14,
  "HP" : 13, 
  "Speed" : "",
  "Alignments" : ["6_CN"],
  "Legendary" : ""},
"Sombrelin, aîné": {
  "Name" : "Sombrelin, aîné",
  "VO" : "Darkling Elder",
  "Family" : "FAIRY",
  "Species" : [""],
  "FP" : "2", 
  "Size" : "M",
  "AC" : 15,
  "HP" : 27, 
  "Speed" : "",
  "Alignments" : ["6_CN"],
  "Legendary" : ""},
"Sorcemort": {
  "Name" : "Sorcemort",
  "VO" : "Deathlock",
  "Family" : "UNDEAD",
  "Species" : [""],
  "FP" : "4", 
  "Size" : "M",
  "AC" : 12,
  "HP" : 36, 
  "Speed" : "",
  "Alignments" : ["8_NM"],
  "Legendary" : ""},
"Sorcemort, conspirateur": {
  "Name" : "Sorcemort, conspirateur",
  "VO" : "Deathlock Mastermind",
  "Family" : "UNDEAD",
  "Species" : [""],
  "FP" : "8", 
  "Size" : "M",
  "AC" : 13,
  "HP" : 110, 
  "Speed" : "",
  "Alignments" : ["8_NM"],
  "Legendary" : ""},
"Sorcemort, nécrophage": {
  "Name" : "Sorcemort, nécrophage",
  "VO" : "Deathlock Wight",
  "Family" : "UNDEAD",
  "Species" : [""],
  "FP" : "3", 
  "Size" : "M",
  "AC" : 12,
  "HP" : 37, 
  "Speed" : "",
  "Alignments" : ["8_NM"],
  "Legendary" : ""},
"Sorcier d'archifée": {
  "Name" : "Sorcier d'archifée",
  "VO" : "Warlock of the Archfey",
  "Family" : "HUMANOID",
  "Species" : [""],
  "FP" : "4", 
  "Size" : "M",
  "AC" : 11,
  "HP" : 49, 
  "Speed" : "",
  "Alignments" : ["1_LB", "2_NB", "3_CB", "4_LN", "5_NN", "6_CN", "7_LM", "8_NM", "9_CM"],
  "Legendary" : ""},
"Sorcier de fiélon": {
  "Name" : "Sorcier de fiélon",
  "VO" : "Warlock of the fiend",
  "Family" : "HUMANOID",
  "Species" : [""],
  "FP" : "7", 
  "Size" : "M",
  "AC" : 12,
  "HP" : 78, 
  "Speed" : "",
  "Alignments" : ["1_LB", "2_NB", "3_CB", "4_LN", "5_NN", "6_CN", "7_LM", "8_NM", "9_CM"],
  "Legendary" : ""},
"Sorcier de Grand Ancien": {
  "Name" : "Sorcier de Grand Ancien",
  "VO" : "Warlock of the Great Old One",
  "Family" : "HUMANOID",
  "Species" : [""],
  "FP" : "6", 
  "Size" : "M",
  "AC" : 12,
  "HP" : 91, 
  "Speed" : "",
  "Alignments" : ["1_LB", "2_NB", "3_CB", "4_LN", "5_NN", "6_CN", "7_LM", "8_NM", "9_CM"],
  "Legendary" : ""},
"Spectateur": {
  "Name" : "Spectateur",
  "VO" : "Spectator",
  "Family" : "ABERRATION",
  "Species" : [""],
  "FP" : "3", 
  "Size" : "M",
  "AC" : 14,
  "HP" : 39, 
  "Speed" : "vol",
  "Alignments" : ["4_LN"],
  "Legendary" : ""},
"Spectre": {
  "Name" : "Spectre",
  "VO" : "Specter",
  "Family" : "UNDEAD",
  "Species" : [""],
  "FP" : "1", 
  "Size" : "M",
  "AC" : 12,
  "HP" : 22, 
  "Speed" : "vol",
  "Alignments" : ["9_CM"],
  "Legendary" : ""},
"Spore gazeuse": {
  "Name" : "Spore gazeuse",
  "VO" : "Gas Spore",
  "Family" : "PLANT",
  "Species" : [""],
  "FP" : "1/2", 
  "Size" : "G",
  "AC" : 5,
  "HP" : 1, 
  "Speed" : "vol",
  "Alignments" : [],
  "Legendary" : ""},
"Squelette": {
  "Name" : "Squelette",
  "VO" : "Skeleton",
  "Family" : "UNDEAD",
  "Species" : [""],
  "FP" : "1/4", 
  "Size" : "M",
  "AC" : 13,
  "HP" : 13, 
  "Speed" : "",
  "Alignments" : ["7_LM"],
  "Legendary" : ""},
"Stirge": {
  "Name" : "Stirge",
  "VO" : "Stirge",
  "Family" : "BEAST",
  "Species" : [""],
  "FP" : "1/8", 
  "Size" : "TP",
  "AC" : 14,
  "HP" : 2, 
  "Speed" : "vol",
  "Alignments" : [],
  "Legendary" : ""},
"Strahd von Zarovich": {
  "Name" : "Strahd von Zarovich",
  "VO" : "Strahd von Zarovich",
  "Family" : "UNDEAD",
  "Species" : ["METAMORPH"],
  "FP" : "15", 
  "Size" : "M",
  "AC" : 16,
  "HP" : 144, 
  "Speed" : "",
  "Alignments" : ["7_LM"],
  "Legendary" : ""},
"Succube": {
  "Name" : "Succube",
  "VO" : "Succubus",
  "Family" : "FIEND",
  "Species" : ["METAMORPH"],
  "FP" : "4", 
  "Size" : "M",
  "AC" : 15,
  "HP" : 66, 
  "Speed" : "vol",
  "Alignments" : ["8_NM"],
  "Legendary" : ""},
"Sul Khatesh": {
  "Name" : "Sul Khatesh",
  "VO" : "Sul Khatesh",
  "Family" : "FIEND",
  "Species" : [""],
  "FP" : "28", 
  "Size" : "G",
  "AC" : 22,
  "HP" : 475, 
  "Speed" : "vol",
  "Alignments" : ["7_LM"],
  "Legendary" : ""},
"Sylvanien": {
  "Name" : "Sylvanien",
  "VO" : "Treant",
  "Family" : "PLANT",
  "Species" : [""],
  "FP" : "9", 
  "Size" : "TG",
  "AC" : 16,
  "HP" : 138, 
  "Speed" : "",
  "Alignments" : ["3_CB"],
  "Legendary" : ""},
"Tabaxi, chasseur": {
  "Name" : "Tabaxi, chasseur",
  "VO" : "Tabaxi Hunter",
  "Family" : "HUMANOID",
  "Species" : ["TABAXI"],
  "FP" : "1", 
  "Size" : "M",
  "AC" : 14,
  "HP" : 40, 
  "Speed" : "",
  "Alignments" : ["3_CB"],
  "Legendary" : ""},
"Tabaxi, ménestrel": {
  "Name" : "Tabaxi, ménestrel",
  "VO" : "Tabaxi Minstrel",
  "Family" : "HUMANOID",
  "Species" : ["TABAXI"],
  "FP" : "1/4", 
  "Size" : "M",
  "AC" : 12,
  "HP" : 22, 
  "Speed" : "",
  "Alignments" : ["3_CB"],
  "Legendary" : ""},
"Tanarukk": {
  "Name" : "Tanarukk",
  "VO" : "Tanarukk",
  "Family" : "FIEND",
  "Species" : ["DAZMON", "ORC"],
  "FP" : "5", 
  "Size" : "M",
  "AC" : 14,
  "HP" : 95, 
  "Speed" : "",
  "Alignments" : ["9_CM"],
  "Legendary" : ""},
"Tapis étouffant": {
  "Name" : "Tapis étouffant",
  "VO" : "Rug of Smothering",
  "Family" : "ARTIFICIAL_CREATURE",
  "Species" : [""],
  "FP" : "2", 
  "Size" : "G",
  "AC" : 12,
  "HP" : 33, 
  "Speed" : "",
  "Alignments" : [],
  "Legendary" : ""},
"Tarasque": {
  "Name" : "Tarasque",
  "VO" : "Tarrasque",
  "Family" : "MONSTROUS_CREATURE",
  "Species" : ["TITAN"],
  "FP" : "30", 
  "Size" : "Gig",
  "AC" : 25,
  "HP" : 676, 
  "Speed" : "",
  "Alignments" : [],
  "Legendary" : "Légendaire"},
"Tarkanan, assassin": {
  "Name" : "Tarkanan, assassin",
  "VO" : "Tarkanan Assassin",
  "Family" : "HUMANOID",
  "Species" : [""],
  "FP" : "2", 
  "Size" : "M",
  "AC" : 15,
  "HP" : 45, 
  "Speed" : "",
  "Alignments" : ["4_LN", "5_NN", "6_CN", "7_LM", "8_NM", "9_CM"],
  "Legendary" : ""},
"Témoin spirituel": {
  "Name" : "Témoin spirituel",
  "VO" : "Mindwitness",
  "Family" : "ABERRATION",
  "Species" : [""],
  "FP" : "5", 
  "Size" : "G",
  "AC" : 15,
  "HP" : 75, 
  "Speed" : "vol",
  "Alignments" : ["7_LM"],
  "Legendary" : ""},
"Tempête, vénérable": {
  "Name" : "Tempête, vénérable",
  "VO" : "Elder Tempest",
  "Family" : "ELEMENTARY",
  "Species" : [""],
  "FP" : "23", 
  "Size" : "Gig",
  "AC" : 19,
  "HP" : 264, 
  "Speed" : "vol",
  "Alignments" : ["5_NN"],
  "Legendary" : ""},
"Ténébreux": {
  "Name" : "Ténébreux",
  "VO" : "Nightwalker",
  "Family" : "UNDEAD",
  "Species" : [""],
  "FP" : "20", 
  "Size" : "TG",
  "AC" : 14,
  "HP" : 297, 
  "Speed" : "vol",
  "Alignments" : ["9_CM"],
  "Legendary" : ""},
"Teril": {
  "Name" : "Teril",
  "VO" : "Teril",
  "Family" : "HUMANOID",
  "Species" : ["HALF-ELF"],
  "FP" : "1/2", 
  "Size" : "M",
  "AC" : 13,
  "HP" : 13, 
  "Speed" : "",
  "Alignments" : ["2_NB"],
  "Legendary" : ""},
"Tertre errant": {
  "Name" : "Tertre errant",
  "VO" : "Shambling Mound",
  "Family" : "PLANT",
  "Species" : [""],
  "FP" : "5", 
  "Size" : "G",
  "AC" : 15,
  "HP" : 136, 
  "Speed" : "nage",
  "Alignments" : [],
  "Legendary" : ""},
"Tête de mort de Bhaal": {
  "Name" : "Tête de mort de Bhaal",
  "VO" : "Death's Head of Bhaal",
  "Family" : "HUMANOID",
  "Species" : ["HUMAN"],
  "FP" : "5", 
  "Size" : "M",
  "AC" : 15,
  "HP" : 76, 
  "Speed" : "",
  "Alignments" : ["9_CM"],
  "Legendary" : ""},
"Thaumartisan": {
  "Name" : "Thaumartisan",
  "VO" : "Magewright",
  "Family" : "HUMANOID",
  "Species" : [""],
  "FP" : "0", 
  "Size" : "M",
  "AC" : 11,
  "HP" : 9, 
  "Speed" : "",
  "Alignments" : ["1_LB", "2_NB", "3_CB", "4_LN", "5_NN", "6_CN", "7_LM", "8_NM", "9_CM"],
  "Legendary" : ""},
"Thri-kreen": {
  "Name" : "Thri-kreen",
  "VO" : "Thri-kreen",
  "Family" : "HUMANOID",
  "Species" : ["THRI_KREEN"],
  "FP" : "1", 
  "Size" : "M",
  "AC" : 15,
  "HP" : 33, 
  "Speed" : "",
  "Alignments" : ["6_CN"],
  "Legendary" : ""},
"Tiamat": {
  "Name" : "Tiamat",
  "VO" : "Tiamat",
  "Family" : "FIEND",
  "Species" : [""],
  "FP" : "30", 
  "Size" : "Gig",
  "AC" : 25,
  "HP" : 615, 
  "Speed" : "vol",
  "Alignments" : ["9_CM"],
  "Legendary" : ""},
"Tigre": {
  "Name" : "Tigre",
  "VO" : "Tiger",
  "Family" : "BEAST",
  "Species" : [""],
  "FP" : "1", 
  "Size" : "G",
  "AC" : 12,
  "HP" : 37, 
  "Speed" : "",
  "Alignments" : [],
  "Legendary" : ""},
"Tigre à dents de sabre": {
  "Name" : "Tigre à dents de sabre",
  "VO" : "Saber-Toothed Tiger",
  "Family" : "BEAST",
  "Species" : [""],
  "FP" : "2", 
  "Size" : "G",
  "AC" : 12,
  "HP" : 52, 
  "Speed" : "",
  "Alignments" : [],
  "Legendary" : ""},
"Tigre-garou": {
  "Name" : "Tigre-garou",
  "VO" : "Weretiger",
  "Family" : "HUMANOID",
  "Species" : ["HUMAN", "METAMORPH"],
  "FP" : "4", 
  "Size" : "M",
  "AC" : 12,
  "HP" : 120, 
  "Speed" : "",
  "Alignments" : ["5_NN"],
  "Legendary" : ""},
"Titivilus": {
  "Name" : "Titivilus",
  "VO" : "Titivilus",
  "Family" : "FIEND",
  "Species" : ["DEVIL"],
  "FP" : "16", 
  "Size" : "M",
  "AC" : 20,
  "HP" : 127, 
  "Speed" : "vol",
  "Alignments" : ["7_LM"],
  "Legendary" : ""},
"Tlincalli": {
  "Name" : "Tlincalli",
  "VO" : "Tlincalli",
  "Family" : "MONSTROUS_CREATURE",
  "Species" : [""],
  "FP" : "5", 
  "Size" : "G",
  "AC" : 15,
  "HP" : 85, 
  "Speed" : "",
  "Alignments" : ["8_NM"],
  "Legendary" : ""},
"Tortue gargantuesque": {
  "Name" : "Tortue gargantuesque",
  "VO" : "Horizonback Tortoise",
  "Family" : "MONSTROUS_CREATURE",
  "Species" : [""],
  "FP" : "8", 
  "Size" : "Gig",
  "AC" : 17,
  "HP" : 227, 
  "Speed" : "",
  "Alignments" : [],
  "Legendary" : ""},
"Tortuga": {
  "Name" : "Tortuga",
  "VO" : "Tortle",
  "Family" : "HUMANOID",
  "Species" : ["TORTUGA"],
  "FP" : "1/4", 
  "Size" : "M",
  "AC" : 17,
  "HP" : 22, 
  "Speed" : "",
  "Alignments" : ["1_LB"],
  "Legendary" : ""},
"Tortuga, druide": {
  "Name" : "Tortuga, druide",
  "VO" : "Tortle Druid",
  "Family" : "HUMANOID",
  "Species" : ["TORTUGA"],
  "FP" : "2", 
  "Size" : "M",
  "AC" : 17,
  "HP" : 33, 
  "Speed" : "",
  "Alignments" : ["4_LN"],
  "Legendary" : ""},
"Torve": {
  "Name" : "Torve",
  "VO" : "Grimlock",
  "Family" : "HUMANOID",
  "Species" : ["TORVE"],
  "FP" : "1/4", 
  "Size" : "M",
  "AC" : 11,
  "HP" : 11, 
  "Speed" : "",
  "Alignments" : ["8_NM"],
  "Legendary" : ""},
"Transmutateur": {
  "Name" : "Transmutateur",
  "VO" : "Transmuter",
  "Family" : "HUMANOID",
  "Species" : [""],
  "FP" : "5", 
  "Size" : "M",
  "AC" : 12,
  "HP" : 40, 
  "Speed" : "",
  "Alignments" : ["1_LB", "2_NB", "3_CB", "4_LN", "5_NN", "6_CN", "7_LM", "8_NM", "9_CM"],
  "Legendary" : ""},
"Traqueur des ténèbres": {
  "Name" : "Traqueur des ténèbres",
  "VO" : "Gloomstalker",
  "Family" : "MONSTROUS_CREATURE",
  "Species" : [""],
  "FP" : "6", 
  "Size" : "G",
  "AC" : 15,
  "HP" : 90, 
  "Speed" : "vol",
  "Alignments" : ["8_NM"],
  "Legendary" : ""},
"Traqueur gluant": {
  "Name" : "Traqueur gluant",
  "VO" : "Slithering Tracker",
  "Family" : "MUD",
  "Species" : [""],
  "FP" : "3", 
  "Size" : "M",
  "AC" : 14,
  "HP" : 32, 
  "Speed" : "nage",
  "Alignments" : ["9_CM"],
  "Legendary" : ""},
"Traqueur invisible": {
  "Name" : "Traqueur invisible",
  "VO" : "Invisible Stalker",
  "Family" : "ELEMENTARY",
  "Species" : [""],
  "FP" : "6", 
  "Size" : "M",
  "AC" : 14,
  "HP" : 104, 
  "Speed" : "vol",
  "Alignments" : ["5_NN"],
  "Legendary" : ""},
"Tricératops": {
  "Name" : "Tricératops",
  "VO" : "Triceratops",
  "Family" : "BEAST",
  "Species" : [""],
  "FP" : "5", 
  "Size" : "TG",
  "AC" : 13,
  "HP" : 95, 
  "Speed" : "",
  "Alignments" : [],
  "Legendary" : ""},
"Tridrone": {
  "Name" : "Tridrone",
  "VO" : "Tridrone",
  "Family" : "ARTIFICIAL_CREATURE",
  "Species" : [""],
  "FP" : "1/2", 
  "Size" : "M",
  "AC" : 15,
  "HP" : 16, 
  "Speed" : "",
  "Alignments" : ["4_LN"],
  "Legendary" : ""},
"Triton du feu, guerrier": {
  "Name" : "Triton du feu, guerrier",
  "VO" : "Firenewt Warrior",
  "Family" : "HUMANOID",
  "Species" : ["FIRE_NEWT"],
  "FP" : "1/2", 
  "Size" : "M",
  "AC" : 16,
  "HP" : 22, 
  "Speed" : "",
  "Alignments" : ["8_NM"],
  "Legendary" : ""},
"Triton du feu, sorcier d'Imix": {
  "Name" : "Triton du feu, sorcier d'Imix",
  "VO" : "Firenewt Warlock of Imix",
  "Family" : "HUMANOID",
  "Species" : ["FIRE_NEWT"],
  "FP" : "1", 
  "Size" : "M",
  "AC" : 10,
  "HP" : 33, 
  "Speed" : "",
  "Alignments" : ["8_NM"],
  "Legendary" : ""},
"Tritsir": {
  "Name" : "Tritsir",
  "VO" : "Tritsir",
  "Family" : "HUMANOID",
  "Species" : ["HUMAN"],
  "FP" : "7", 
  "Size" : "M",
  "AC" : 10,
  "HP" : 90, 
  "Speed" : "",
  "Alignments" : ["7_LM"],
  "Legendary" : ""},
"Troglodyte": {
  "Name" : "Troglodyte",
  "VO" : "Troglodyte",
  "Family" : "HUMANOID",
  "Species" : ["TROGLODYTE"],
  "FP" : "1/4", 
  "Size" : "M",
  "AC" : 11,
  "HP" : 13, 
  "Speed" : "",
  "Alignments" : ["9_CM"],
  "Legendary" : ""},
"Troll": {
  "Name" : "Troll",
  "VO" : "Troll",
  "Family" : "GIANT",
  "Species" : [""],
  "FP" : "5", 
  "Size" : "G",
  "AC" : 15,
  "HP" : 84, 
  "Speed" : "",
  "Alignments" : ["9_CM"],
  "Legendary" : ""},
"Troll pourrissant": {
  "Name" : "Troll pourrissant",
  "VO" : "Rot Troll",
  "Family" : "GIANT",
  "Species" : [""],
  "FP" : "9", 
  "Size" : "G",
  "AC" : 16,
  "HP" : 138, 
  "Speed" : "",
  "Alignments" : ["9_CM"],
  "Legendary" : ""},
"Troll psychique": {
  "Name" : "Troll psychique",
  "VO" : "Spirit Troll",
  "Family" : "GIANT",
  "Species" : [""],
  "FP" : "11", 
  "Size" : "G",
  "AC" : 17,
  "HP" : 97, 
  "Speed" : "",
  "Alignments" : ["9_CM"],
  "Legendary" : ""},
"Troll sanguinaire": {
  "Name" : "Troll sanguinaire",
  "VO" : "Dire Troll",
  "Family" : "GIANT",
  "Species" : [""],
  "FP" : "13", 
  "Size" : "TG",
  "AC" : 15,
  "HP" : 172, 
  "Speed" : "",
  "Alignments" : ["9_CM"],
  "Legendary" : ""},
"Troll venin": {
  "Name" : "Troll venin",
  "VO" : "Venom Troll",
  "Family" : "GIANT",
  "Species" : [""],
  "FP" : "7", 
  "Size" : "G",
  "AC" : 15,
  "HP" : 94, 
  "Speed" : "",
  "Alignments" : ["9_CM"],
  "Legendary" : ""},
"Tyramort": {
  "Name" : "Tyramort",
  "VO" : "Death Tyrant",
  "Family" : "UNDEAD",
  "Species" : [""],
  "FP" : "14", 
  "Size" : "G",
  "AC" : 19,
  "HP" : 187, 
  "Speed" : "vol",
  "Alignments" : ["7_LM"],
  "Legendary" : "Légendaire"},
"Tyrannoeil": {
  "Name" : "Tyrannoeil",
  "VO" : "Beholder",
  "Family" : "ABERRATION",
  "Species" : [""],
  "FP" : "13", 
  "Size" : "G",
  "AC" : 18,
  "HP" : 180, 
  "Speed" : "vol",
  "Alignments" : ["7_LM"],
  "Legendary" : "Légendaire"},
"Tyrannoeil zombi": {
  "Name" : "Tyrannoeil zombi",
  "VO" : "Beholder Zombie",
  "Family" : "UNDEAD",
  "Species" : [""],
  "FP" : "5", 
  "Size" : "G",
  "AC" : 15,
  "HP" : 93, 
  "Speed" : "vol",
  "Alignments" : ["8_NM"],
  "Legendary" : ""},
"Tyrannosaure": {
  "Name" : "Tyrannosaure",
  "VO" : "Tyrannosaurus Rex",
  "Family" : "BEAST",
  "Species" : [""],
  "FP" : "8", 
  "Size" : "TG",
  "AC" : 13,
  "HP" : 136, 
  "Speed" : "",
  "Alignments" : [],
  "Legendary" : ""},
"Udaak": {
  "Name" : "Udaak",
  "VO" : "Udaak",
  "Family" : "FIEND",
  "Species" : [""],
  "FP" : "16", 
  "Size" : "Gig",
  "AC" : 18,
  "HP" : 165, 
  "Speed" : "",
  "Alignments" : ["8_NM"],
  "Legendary" : ""},
"Ulitharid": {
  "Name" : "Ulitharid",
  "VO" : "Ulitharid",
  "Family" : "ABERRATION",
  "Species" : [""],
  "FP" : "9", 
  "Size" : "G",
  "AC" : 15,
  "HP" : 127, 
  "Speed" : "",
  "Alignments" : ["7_LM"],
  "Legendary" : ""},
"Ultroloth": {
  "Name" : "Ultroloth",
  "VO" : "Ultroloth",
  "Family" : "FIEND",
  "Species" : ["YUGOLOTH"],
  "FP" : "13", 
  "Size" : "M",
  "AC" : 19,
  "HP" : 153, 
  "Speed" : "vol",
  "Alignments" : ["8_NM"],
  "Legendary" : ""},
"Vache": {
  "Name" : "Vache",
  "VO" : "Cow",
  "Family" : "BEAST",
  "Species" : [""],
  "FP" : "1/4", 
  "Size" : "G",
  "AC" : 10,
  "HP" : 15, 
  "Speed" : "",
  "Alignments" : [],
  "Legendary" : ""},
"Vajra Safahr": {
  "Name" : "Vajra Safahr",
  "VO" : "Vajra Safahr",
  "Family" : "HUMANOID",
  "Species" : ["HUMAN"],
  "FP" : "13", 
  "Size" : "M",
  "AC" : 14,
  "HP" : 126, 
  "Speed" : "",
  "Alignments" : ["4_LN"],
  "Legendary" : ""},
"Vampire": {
  "Name" : "Vampire",
  "VO" : "Vampire",
  "Family" : "UNDEAD",
  "Species" : ["METAMORPH"],
  "FP" : "13", 
  "Size" : "M",
  "AC" : 16,
  "HP" : 144, 
  "Speed" : "",
  "Alignments" : ["7_LM"],
  "Legendary" : "Légendaire"},
"Vampirien": {
  "Name" : "Vampirien",
  "VO" : "Vampire Spawn",
  "Family" : "UNDEAD",
  "Species" : [""],
  "FP" : "5", 
  "Size" : "M",
  "AC" : 15,
  "HP" : 82, 
  "Speed" : "",
  "Alignments" : ["8_NM"],
  "Legendary" : ""},
"Vargouille": {
  "Name" : "Vargouille",
  "VO" : "Vargouille",
  "Family" : "FIEND",
  "Species" : [""],
  "FP" : "1", 
  "Size" : "TP",
  "AC" : 12,
  "HP" : 13, 
  "Speed" : "vol",
  "Alignments" : ["9_CM"],
  "Legendary" : ""},
"Vase grise": {
  "Name" : "Vase grise",
  "VO" : "Gray Ooze",
  "Family" : "MUD",
  "Species" : [""],
  "FP" : "1/2", 
  "Size" : "M",
  "AC" : 8,
  "HP" : 22, 
  "Speed" : "",
  "Alignments" : [],
  "Legendary" : ""},
"Vautour": {
  "Name" : "Vautour",
  "VO" : "Vulture",
  "Family" : "BEAST",
  "Species" : [""],
  "FP" : "0", 
  "Size" : "M",
  "AC" : 10,
  "HP" : 5, 
  "Speed" : "vol",
  "Alignments" : [],
  "Legendary" : ""},
"Vautour géant": {
  "Name" : "Vautour géant",
  "VO" : "Giant Vulture",
  "Family" : "BEAST",
  "Species" : [""],
  "FP" : "1", 
  "Size" : "G",
  "AC" : 10,
  "HP" : 22, 
  "Speed" : "vol",
  "Alignments" : ["8_NM"],
  "Legendary" : ""},
"Végépygmée": {
  "Name" : "Végépygmée",
  "VO" : "Vegepygmy",
  "Family" : "PLANT",
  "Species" : [""],
  "FP" : "1/4", 
  "Size" : "P",
  "AC" : 13,
  "HP" : 9, 
  "Speed" : "",
  "Alignments" : ["5_NN"],
  "Legendary" : ""},
"Végépygmée, chef": {
  "Name" : "Végépygmée, chef",
  "VO" : "Vegepygmy Chief",
  "Family" : "PLANT",
  "Species" : [""],
  "FP" : "2", 
  "Size" : "P",
  "AC" : 14,
  "HP" : 33, 
  "Speed" : "",
  "Alignments" : ["5_NN"],
  "Legendary" : ""},
"Vélociraptor": {
  "Name" : "Vélociraptor",
  "VO" : "Velociraptor",
  "Family" : "BEAST",
  "Species" : [""],
  "FP" : "1/4", 
  "Size" : "TP",
  "AC" : 13,
  "HP" : 10, 
  "Speed" : "",
  "Alignments" : [],
  "Legendary" : ""},
"Ver du givre": {
  "Name" : "Ver du givre",
  "VO" : "Frost Worm",
  "Family" : "MONSTROUS_CREATURE",
  "Species" : [""],
  "FP" : "17", 
  "Size" : "Gig",
  "AC" : 18,
  "HP" : 264, 
  "Speed" : "",
  "Alignments" : [],
  "Legendary" : ""},
"Ver pourpre": {
  "Name" : "Ver pourpre",
  "VO" : "Purple Worm",
  "Family" : "MONSTROUS_CREATURE",
  "Species" : [""],
  "FP" : "15", 
  "Size" : "Gig",
  "AC" : 18,
  "HP" : 247, 
  "Speed" : "",
  "Alignments" : [],
  "Legendary" : ""},
"Vétéran": {
  "Name" : "Vétéran",
  "VO" : "Veteran",
  "Family" : "HUMANOID",
  "Species" : [""],
  "FP" : "3", 
  "Size" : "M",
  "AC" : 17,
  "HP" : 58, 
  "Speed" : "",
  "Alignments" : ["1_LB", "2_NB", "3_CB", "4_LN", "5_NN", "6_CN", "7_LM", "8_NM", "9_CM"],
  "Legendary" : ""},
"Viplo": {
  "Name" : "Viplo",
  "VO" : "Viplo",
  "Family" : "HUMANOID",
  "Species" : ["HALFELIN"],
  "FP" : "1/4", 
  "Size" : "P",
  "AC" : 10,
  "HP" : 9, 
  "Speed" : "",
  "Alignments" : ["4_LN"],
  "Legendary" : ""},
"Vissepince": {
  "Name" : "Vissepince",
  "VO" : "Meenlock",
  "Family" : "FAIRY",
  "Species" : [""],
  "FP" : "2", 
  "Size" : "P",
  "AC" : 15,
  "HP" : 31, 
  "Speed" : "",
  "Alignments" : ["8_NM"],
  "Legendary" : ""},
"Vrock": {
  "Name" : "Vrock",
  "VO" : "Vrock",
  "Family" : "FIEND",
  "Species" : ["DAEMON"],
  "FP" : "6", 
  "Size" : "G",
  "AC" : 15,
  "HP" : 104, 
  "Speed" : "vol",
  "Alignments" : ["9_CM"],
  "Legendary" : ""},
"Wastrilith": {
  "Name" : "Wastrilith",
  "VO" : "Wastrilith",
  "Family" : "FIEND",
  "Species" : ["DAEMON"],
  "FP" : "13", 
  "Size" : "G",
  "AC" : 18,
  "HP" : 157, 
  "Speed" : "nage",
  "Alignments" : ["9_CM"],
  "Legendary" : ""},
"Wiverne": {
  "Name" : "Wiverne",
  "VO" : "Wyvern",
  "Family" : "DRAGON",
  "Species" : [""],
  "FP" : "6", 
  "Size" : "G",
  "AC" : 13,
  "HP" : 110, 
  "Speed" : "vol",
  "Alignments" : [],
  "Legendary" : ""},
"Worg": {
  "Name" : "Worg",
  "VO" : "Worg",
  "Family" : "MONSTROUS_CREATURE",
  "Species" : [""],
  "FP" : "1/2", 
  "Size" : "G",
  "AC" : 13,
  "HP" : 26, 
  "Speed" : "",
  "Alignments" : ["8_NM"],
  "Legendary" : ""},
"Xorn": {
  "Name" : "Xorn",
  "VO" : "Xorn",
  "Family" : "ELEMENTARY",
  "Species" : [""],
  "FP" : "5", 
  "Size" : "M",
  "AC" : 19,
  "HP" : 73, 
  "Speed" : "",
  "Alignments" : ["5_NN"],
  "Legendary" : ""}</v>
      </c>
    </row>
    <row r="831" spans="1:16">
      <c r="N831" s="297"/>
      <c r="P831" t="str">
        <f>CONCATENATE(",
",P801,",
",P802,",
",P803,",
",P804,",
",P805,",
",P806,",
",P807,",
",P808,",
",P809,",
",P810,",
",P811,",
",P812,",
",P813,",
",P814,",
",P815,",
",P816,",
",P817,",
",P818,",
",P819,",
",P820)</f>
        <v>,
"Xvart": {
  "Name" : "Xvart",
  "VO" : "Xvart",
  "Family" : "HUMANOID",
  "Species" : ["XVART"],
  "FP" : "1/8", 
  "Size" : "P",
  "AC" : 13,
  "HP" : 7, 
  "Speed" : "",
  "Alignments" : ["9_CM"],
  "Legendary" : ""},
"Xvart, sorcier de Raxivort": {
  "Name" : "Xvart, sorcier de Raxivort",
  "VO" : "Xvart Warlock of Raxivort",
  "Family" : "HUMANOID",
  "Species" : ["XVART"],
  "FP" : "1", 
  "Size" : "P",
  "AC" : 12,
  "HP" : 22, 
  "Speed" : "",
  "Alignments" : ["9_CM"],
  "Legendary" : ""},
"Yagnoloth": {
  "Name" : "Yagnoloth",
  "VO" : "Yagnoloth",
  "Family" : "FIEND",
  "Species" : ["YUGOLOTH"],
  "FP" : "11", 
  "Size" : "G",
  "AC" : 17,
  "HP" : 147, 
  "Speed" : "",
  "Alignments" : ["8_NM"],
  "Legendary" : ""},
"Yeenoghu": {
  "Name" : "Yeenoghu",
  "VO" : "Yeenoghu",
  "Family" : "FIEND",
  "Species" : ["DAEMON"],
  "FP" : "24", 
  "Size" : "TG",
  "AC" : 20,
  "HP" : 333, 
  "Speed" : "",
  "Alignments" : ["9_CM"],
  "Legendary" : ""},
"Yéti": {
  "Name" : "Yéti",
  "VO" : "Yeti",
  "Family" : "MONSTROUS_CREATURE",
  "Species" : [""],
  "FP" : "3", 
  "Size" : "G",
  "AC" : 12,
  "HP" : 51, 
  "Speed" : "",
  "Alignments" : ["9_CM"],
  "Legendary" : ""},
"Yéti abominable": {
  "Name" : "Yéti abominable",
  "VO" : "Abominable Yeti",
  "Family" : "MONSTROUS_CREATURE",
  "Species" : [""],
  "FP" : "9", 
  "Size" : "TG",
  "AC" : 15,
  "HP" : 137, 
  "Speed" : "",
  "Alignments" : ["9_CM"],
  "Legendary" : ""},
"Yochlol": {
  "Name" : "Yochlol",
  "VO" : "Yochlol",
  "Family" : "FIEND",
  "Species" : ["DAEMON", "METAMORPH"],
  "FP" : "10", 
  "Size" : "M",
  "AC" : 15,
  "HP" : 136, 
  "Speed" : "",
  "Alignments" : ["9_CM"],
  "Legendary" : ""},
"Yuan-ti, abomination": {
  "Name" : "Yuan-ti, abomination",
  "VO" : "Yuan-ti Abomination",
  "Family" : "MONSTROUS_CREATURE",
  "Species" : ["METAMORPH", "YUAN_TI"],
  "FP" : "7", 
  "Size" : "G",
  "AC" : 15,
  "HP" : 127, 
  "Speed" : "",
  "Alignments" : ["8_NM"],
  "Legendary" : ""},
"Yuan-ti, anathème": {
  "Name" : "Yuan-ti, anathème",
  "VO" : "Yuan-ti Anathema",
  "Family" : "MONSTROUS_CREATURE",
  "Species" : ["METAMORPH", "YUAN_TI"],
  "FP" : "12", 
  "Size" : "TG",
  "AC" : 16,
  "HP" : 189, 
  "Speed" : "nage",
  "Alignments" : ["8_NM"],
  "Legendary" : ""},
"Yuan-ti, annonciateur de cauchemars": {
  "Name" : "Yuan-ti, annonciateur de cauchemars",
  "VO" : "Yuan-ti Nightmare Speaker",
  "Family" : "MONSTROUS_CREATURE",
  "Species" : ["METAMORPH", "YUAN_TI"],
  "FP" : "4", 
  "Size" : "M",
  "AC" : 14,
  "HP" : 71, 
  "Speed" : "",
  "Alignments" : ["8_NM"],
  "Legendary" : ""},
"Yuan-ti, chuchoteur de consciences": {
  "Name" : "Yuan-ti, chuchoteur de consciences",
  "VO" : "Yuan-ti Mind Whisperer",
  "Family" : "MONSTROUS_CREATURE",
  "Species" : ["METAMORPH", "YUAN_TI"],
  "FP" : "4", 
  "Size" : "M",
  "AC" : 14,
  "HP" : 71, 
  "Speed" : "",
  "Alignments" : ["8_NM"],
  "Legendary" : ""},
"Yuan-ti, garde des couvés": {
  "Name" : "Yuan-ti, garde des couvés",
  "VO" : "Yuan-ti Broodguard",
  "Family" : "HUMANOID",
  "Species" : ["YUAN_TI"],
  "FP" : "2", 
  "Size" : "M",
  "AC" : 14,
  "HP" : 45, 
  "Speed" : "",
  "Alignments" : ["8_NM"],
  "Legendary" : ""},
"Yuan-ti, maître des fosses": {
  "Name" : "Yuan-ti, maître des fosses",
  "VO" : "Yuan-ti Pit Master",
  "Family" : "MONSTROUS_CREATURE",
  "Species" : ["METAMORPH", "YUAN_TI"],
  "FP" : "5", 
  "Size" : "M",
  "AC" : 14,
  "HP" : 88, 
  "Speed" : "",
  "Alignments" : ["8_NM"],
  "Legendary" : ""},
"Yuan-ti, malison": {
  "Name" : "Yuan-ti, malison",
  "VO" : "Yuan-ti Malison",
  "Family" : "MONSTROUS_CREATURE",
  "Species" : ["METAMORPH", "YUAN_TI"],
  "FP" : "3", 
  "Size" : "M",
  "AC" : 12,
  "HP" : 66, 
  "Speed" : "",
  "Alignments" : ["8_NM"],
  "Legendary" : ""},
"Yuan-ti, sang-pur": {
  "Name" : "Yuan-ti, sang-pur",
  "VO" : "Yuan-ti Pureblood",
  "Family" : "HUMANOID",
  "Species" : ["YUAN_TI"],
  "FP" : "1", 
  "Size" : "M",
  "AC" : 11,
  "HP" : 40, 
  "Speed" : "",
  "Alignments" : ["8_NM"],
  "Legendary" : ""},
"Zaratan": {
  "Name" : "Zaratan",
  "VO" : "Zaratan",
  "Family" : "ELEMENTARY",
  "Species" : [""],
  "FP" : "22", 
  "Size" : "Gig",
  "AC" : 21,
  "HP" : 307, 
  "Speed" : "nage",
  "Alignments" : ["5_NN"],
  "Legendary" : ""},
"Zariel": {
  "Name" : "Zariel",
  "VO" : "Zariel",
  "Family" : "FIEND",
  "Species" : ["DEVIL"],
  "FP" : "26", 
  "Size" : "G",
  "AC" : 21,
  "HP" : 580, 
  "Speed" : "vol",
  "Alignments" : ["7_LM"],
  "Legendary" : "Légendaire"},
"Zombi": {
  "Name" : "Zombi",
  "VO" : "Zombie",
  "Family" : "UNDEAD",
  "Species" : [""],
  "FP" : "1/4", 
  "Size" : "M",
  "AC" : 8,
  "HP" : 22, 
  "Speed" : "",
  "Alignments" : ["8_NM"],
  "Legendary" : ""},
"Zombi desséché": {
  "Name" : "Zombi desséché",
  "VO" : "Husk Zombie",
  "Family" : "UNDEAD",
  "Species" : [""],
  "FP" : "1", 
  "Size" : "M",
  "AC" : 10,
  "HP" : 37, 
  "Speed" : "",
  "Alignments" : ["8_NM"],
  "Legendary" : ""},
"Zuggtmoy": {
  "Name" : "Zuggtmoy",
  "VO" : "Zuggtmoy",
  "Family" : "FIEND",
  "Species" : ["DAEMON"],
  "FP" : "23", 
  "Size" : "G",
  "AC" : 18,
  "HP" : 304, 
  "Speed" : "",
  "Alignments" : ["9_CM"],
  "Legendary" : ""}</v>
      </c>
    </row>
    <row r="832" spans="1:16">
      <c r="N832" s="297"/>
    </row>
    <row r="833" spans="14:14">
      <c r="N833" s="297"/>
    </row>
    <row r="834" spans="14:14">
      <c r="N834" s="297"/>
    </row>
    <row r="835" spans="14:14">
      <c r="N835" s="297"/>
    </row>
    <row r="836" spans="14:14">
      <c r="N836" s="297"/>
    </row>
    <row r="837" spans="14:14">
      <c r="N837" s="297"/>
    </row>
    <row r="838" spans="14:14">
      <c r="N838" s="297"/>
    </row>
    <row r="839" spans="14:14">
      <c r="N839" s="297"/>
    </row>
    <row r="840" spans="14:14">
      <c r="N840" s="297"/>
    </row>
    <row r="841" spans="14:14">
      <c r="N841" s="297"/>
    </row>
    <row r="842" spans="14:14">
      <c r="N842" s="297"/>
    </row>
    <row r="843" spans="14:14">
      <c r="N843" s="297"/>
    </row>
    <row r="844" spans="14:14">
      <c r="N844" s="297"/>
    </row>
    <row r="845" spans="14:14">
      <c r="N845" s="297"/>
    </row>
    <row r="846" spans="14:14">
      <c r="N846" s="297"/>
    </row>
    <row r="847" spans="14:14">
      <c r="N847" s="297"/>
    </row>
    <row r="848" spans="14:14">
      <c r="N848" s="297"/>
    </row>
    <row r="849" spans="14:14">
      <c r="N849" s="297"/>
    </row>
    <row r="850" spans="14:14">
      <c r="N850" s="297"/>
    </row>
    <row r="851" spans="14:14">
      <c r="N851" s="297"/>
    </row>
    <row r="852" spans="14:14">
      <c r="N852" s="297"/>
    </row>
    <row r="853" spans="14:14">
      <c r="N853" s="297"/>
    </row>
    <row r="854" spans="14:14">
      <c r="N854" s="297"/>
    </row>
    <row r="855" spans="14:14">
      <c r="N855" s="297"/>
    </row>
    <row r="856" spans="14:14">
      <c r="N856" s="297"/>
    </row>
    <row r="857" spans="14:14">
      <c r="N857" s="297"/>
    </row>
    <row r="858" spans="14:14">
      <c r="N858" s="297"/>
    </row>
    <row r="859" spans="14:14">
      <c r="N859" s="297"/>
    </row>
    <row r="860" spans="14:14">
      <c r="N860" s="297"/>
    </row>
    <row r="861" spans="14:14">
      <c r="N861" s="297"/>
    </row>
  </sheetData>
  <mergeCells count="1">
    <mergeCell ref="E1:F1"/>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38"/>
  <sheetViews>
    <sheetView topLeftCell="A20" workbookViewId="0">
      <selection activeCell="C39" sqref="C39"/>
    </sheetView>
  </sheetViews>
  <sheetFormatPr baseColWidth="10" defaultRowHeight="15"/>
  <cols>
    <col min="1" max="1" width="23.140625" customWidth="1"/>
    <col min="2" max="2" width="23.28515625" customWidth="1"/>
    <col min="3" max="3" width="22.85546875" customWidth="1"/>
  </cols>
  <sheetData>
    <row r="1" spans="1:3" ht="15" customHeight="1">
      <c r="A1" t="s">
        <v>2577</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6"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2804</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2815</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1041</v>
      </c>
      <c r="B4" s="153" t="s">
        <v>1063</v>
      </c>
      <c r="C4" t="str">
        <f t="shared" si="0"/>
        <v>"ArmorCategories" : {
 "LIGHT": {"Code": "LIGHT", "Name": "Armures légères"},
   "MID": {"Code": "MID","Name": "Armures intermédiaires"},
   "HEAVY": {"Code": "HEAVY","Name": "Armures lourdes"},
   "SHIELD": {"Code": "SHIELD","Name": "Boucliers"}
 }</v>
      </c>
    </row>
    <row r="5" spans="1:3" ht="15" customHeight="1">
      <c r="A5" t="s">
        <v>1047</v>
      </c>
      <c r="B5" t="str">
        <f>Armures!N20</f>
        <v>"Matelassée":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v>
      </c>
      <c r="C5" t="str">
        <f t="shared" si="0"/>
        <v>"Armors" : {
 "Matelassée":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
 }</v>
      </c>
    </row>
    <row r="6" spans="1:3" ht="15" customHeight="1">
      <c r="A6" t="s">
        <v>1059</v>
      </c>
      <c r="B6" t="str">
        <f>Capacities!B39</f>
        <v>"ARTIFICER-1" : {
"Capacities":["Incantations", "Bricolage magique"],
"MinorSpellsNb": 2,
"Locations": {
"1":2,
"2":0,
"3":0,
"4":0,
"5":0},
"Impregnation": 0,
"ImpregnatedObjects": 0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
"MYSTICAL-1" : {
"Capacities":["Talents psioniques", "Disciplines psioniques", "Points psi", "Limite psi", "Focaliseur psychique", "Caractéristique psionique",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
"PALADIN-1"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 {
"1":4,
"2":3,
"</v>
      </c>
      <c r="C6" t="str">
        <f t="shared" si="0"/>
        <v>"Capacities" : {
 "ARTIFICER-1" : {
"Capacities":["Incantations", "Bricolage magique"],
"MinorSpellsNb": 2,
"Locations": {
"1":2,
"2":0,
"3":0,
"4":0,
"5":0},
"Impregnation": 0,
"ImpregnatedObjects": 0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
"MYSTICAL-1" : {
"Capacities":["Talents psioniques", "Disciplines psioniques", "Points psi", "Limite psi", "Focaliseur psychique", "Caractéristique psionique",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
"PALADIN-1"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v>
      </c>
    </row>
    <row r="7" spans="1:3" ht="15" customHeight="1">
      <c r="A7" t="s">
        <v>1057</v>
      </c>
      <c r="B7" s="153" t="s">
        <v>1066</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1061</v>
      </c>
      <c r="B8" s="153" t="s">
        <v>1060</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Classes!Z17</f>
        <v>"ARTIFICER":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
"BARBARIAN":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
"BARD":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
"CLERK":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
"DRUID":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
"SORCERER":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
"WARRIOR":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
"MAGICIAN":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
"MONK":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
"MYSTICAL":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
"PALADIN":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
"PROWLER":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
"WILY":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
"WIZARD":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v>
      </c>
      <c r="C9" t="str">
        <f t="shared" si="0"/>
        <v>"Classes" : {
 "ARTIFICER":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
"BARBARIAN":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
"BARD":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
"CLERK":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
"DRUID":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
"SORCERER":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
"WARRIOR":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
"MAGICIAN":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
"MONK":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
"MYSTICAL":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
"PALADIN":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
"PROWLER":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
"WILY":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
"WIZARD":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
 }</v>
      </c>
    </row>
    <row r="10" spans="1:3" ht="15" customHeight="1">
      <c r="A10" t="s">
        <v>1043</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1049</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3261</v>
      </c>
      <c r="B12" t="str">
        <f>Classes!I90</f>
        <v>"WARRIOR_ARCHERY":  {
 "Code" : "WARRIOR_ARCHERY",
 "Class" : "WARRIOR",
 "Name" : "Archerie",
  "ACBonus" : 0, "DistanceBonus" : 2, "weaponBonus" : 0, "Description" : "Vous obtenez un bonus de +2 aux jets d'attaque avec une arme à distance."
  },
"WARRIOR_TWO_HAND_WEAPON":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
"WARRIOR_DEFENSE":  {
 "Code" : "WARRIOR_DEFENSE",
 "Class" : "WARRIOR",
 "Name" : "Défense",
 "ACBonusArmor" : true, "ACBonus" : 1, "DistanceBonus" : 0, "weaponBonus" : 0, "Description" : "Si vous portez une armure, vous obtenez un bonus de +1 à la CA."
  },
"WARRIOR_DUEL":  {
 "Code" : "WARRIOR_DUEL",
 "Class" : "WARRIOR",
 "Name" : "Duel",
  "ACBonus" : 0, "DistanceBonus" : 0, "weaponBonus" : 2, "Description" : "Lorsque vous attaquez avec une arme de corps à corps dans une main et aucune autre arme, vous obtenez un bonus de +2 aux dégâts avec cette arme."
  },
"WARRIOR_PROTECTION":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"PALADIN_DEFENSE":  {
 "Code" : "PALADIN_DEFENSE",
 "Class" : "PALADIN",
 "Name" : "Défense",
 "ACBonusArmor" : true, "ACBonus" : 1, "DistanceBonus" : 0, "weaponBonus" : 0, "Description" : "Si vous portez une armure, vous obtenez un bonus de +1 à la CA."
  },
"PALADIN_DUEL":  {
 "Code" : "PALADIN_DUEL",
 "Class" : "PALADIN",
 "Name" : "Duel",
  "ACBonus" : 0, "DistanceBonus" : 0, "weaponBonus" : 2, "Description" : "Lorsque vous attaquez avec une arme de corps à corps dans une main et aucune autre arme, vous obtenez un bonus de +2 aux dégâts avec cette arme."
  },
"PALADIN_PROTECTION":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"PROWLER_ARCHERY":  {
 "Code" : "PROWLER_ARCHERY",
 "Class" : "PROWLER",
 "Name" : "Archerie",
  "ACBonus" : 0, "DistanceBonus" : 2, "weaponBonus" : 0, "Description" : "Vous obtenez un bonus de +2 aux jets d'attaque avec une arme à distance."
  },
"PROWLER_TWO_HAND_FIGHT":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
"PROWLER_DEFENSE":  {
 "Code" : "PROWLER_DEFENSE",
 "Class" : "PROWLER",
 "Name" : "Défense",
 "ACBonusArmor" : true, "ACBonus" : 1, "DistanceBonus" : 0, "weaponBonus" : 0, "Description" : "Si vous portez une armure, vous obtenez un bonus de +1 à la CA."
  },
"PROWLER_DUEL":  {
 "Code" : "PROWLER_DUEL",
 "Class" : "PROWLER",
 "Name" : "Duel",
  "ACBonus" : 0, "DistanceBonus" : 0, "weaponBonus" : 2, "Description" : "Lorsque vous attaquez avec une arme de corps à corps dans une main et aucune autre arme, vous obtenez un bonus de +2 aux dégâts avec cette arme."
  }</v>
      </c>
      <c r="C12" t="str">
        <f t="shared" si="0"/>
        <v>"FightStyles" : {
 "WARRIOR_ARCHERY":  {
 "Code" : "WARRIOR_ARCHERY",
 "Class" : "WARRIOR",
 "Name" : "Archerie",
  "ACBonus" : 0, "DistanceBonus" : 2, "weaponBonus" : 0, "Description" : "Vous obtenez un bonus de +2 aux jets d'attaque avec une arme à distance."
  },
"WARRIOR_TWO_HAND_WEAPON":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
"WARRIOR_DEFENSE":  {
 "Code" : "WARRIOR_DEFENSE",
 "Class" : "WARRIOR",
 "Name" : "Défense",
 "ACBonusArmor" : true, "ACBonus" : 1, "DistanceBonus" : 0, "weaponBonus" : 0, "Description" : "Si vous portez une armure, vous obtenez un bonus de +1 à la CA."
  },
"WARRIOR_DUEL":  {
 "Code" : "WARRIOR_DUEL",
 "Class" : "WARRIOR",
 "Name" : "Duel",
  "ACBonus" : 0, "DistanceBonus" : 0, "weaponBonus" : 2, "Description" : "Lorsque vous attaquez avec une arme de corps à corps dans une main et aucune autre arme, vous obtenez un bonus de +2 aux dégâts avec cette arme."
  },
"WARRIOR_PROTECTION":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"PALADIN_DEFENSE":  {
 "Code" : "PALADIN_DEFENSE",
 "Class" : "PALADIN",
 "Name" : "Défense",
 "ACBonusArmor" : true, "ACBonus" : 1, "DistanceBonus" : 0, "weaponBonus" : 0, "Description" : "Si vous portez une armure, vous obtenez un bonus de +1 à la CA."
  },
"PALADIN_DUEL":  {
 "Code" : "PALADIN_DUEL",
 "Class" : "PALADIN",
 "Name" : "Duel",
  "ACBonus" : 0, "DistanceBonus" : 0, "weaponBonus" : 2, "Description" : "Lorsque vous attaquez avec une arme de corps à corps dans une main et aucune autre arme, vous obtenez un bonus de +2 aux dégâts avec cette arme."
  },
"PALADIN_PROTECTION":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"PROWLER_ARCHERY":  {
 "Code" : "PROWLER_ARCHERY",
 "Class" : "PROWLER",
 "Name" : "Archerie",
  "ACBonus" : 0, "DistanceBonus" : 2, "weaponBonus" : 0, "Description" : "Vous obtenez un bonus de +2 aux jets d'attaque avec une arme à distance."
  },
"PROWLER_TWO_HAND_FIGHT":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
"PROWLER_DEFENSE":  {
 "Code" : "PROWLER_DEFENSE",
 "Class" : "PROWLER",
 "Name" : "Défense",
 "ACBonusArmor" : true, "ACBonus" : 1, "DistanceBonus" : 0, "weaponBonus" : 0, "Description" : "Si vous portez une armure, vous obtenez un bonus de +1 à la CA."
  },
"PROWLER_DUEL":  {
 "Code" : "PROWLER_DUEL",
 "Class" : "PROWLER",
 "Name" : "Duel",
  "ACBonus" : 0, "DistanceBonus" : 0, "weaponBonus" : 2, "Description" : "Lorsque vous attaquez avec une arme de corps à corps dans une main et aucune autre arme, vous obtenez un bonus de +2 aux dégâts avec cette arme."
  }
 }</v>
      </c>
    </row>
    <row r="13" spans="1:3" ht="15" customHeight="1">
      <c r="A13" t="s">
        <v>1039</v>
      </c>
      <c r="B13" t="str">
        <f>Historiques!H21</f>
        <v>"ACOLYTE":  {
 "Id" : "ACOLYTE",
 "Name" : "Acolyte",
 "Skills" : ["Perspicacité", "Religion"],
 "Objects" : [],
 "StartingObjects" : ["Symbole sacré","Livre de prières", "5 bâtons d'encens", "Habits de cérémonie","Vêtements communs"],
 "StartingMoney" : 1500
  },
"GUILD_ARTISAN":  {
 "Id" : "GUILD_ARTISAN",
 "Name" : "Artisan De Guilde",
 "Skills" : ["Perspicacité", "Persuasion"],
 "Objects" : [],
 "StartingObjects" : ["Lettre de recommandation de votre guilde", "Vêtements de voyage"],
 "StartingMoney" : 1500
  },
"ARTIST":  {
 "Id" : "ARTIST",
 "Name" : "Artiste",
 "Skills" : ["Acrobatie", "Représentation"],
 "Objects" : ["Kit de déguisement"],
 "StartingObjects" : ["Cadeau d'un admirateur (une lettre d'amour, une mèche de cheveux, une babiole)", "Costume"],
 "StartingMoney" : 1500
  },
"CHARLATAN":  {
 "Id" : "CHARLATAN",
 "Name" : "Charlatan",
 "Skills" : ["Escamotage", "Tromperie"],
 "Objects" : ["Kit de déguisement", "Kit de contrefaçon"],
 "StartingObjects" : ["Kit de déguisement", "Vêtements fins"],
 "StartingMoney" : 1500
  },
"CRIMINAL":  {
 "Id" : "CRIMINAL",
 "Name" : "Criminel",
 "Skills" : ["Discrétion", "Tromperie"],
 "Objects" : ["Outils de voleur"],
 "StartingObjects" : ["Pied-de-biche", "Vêtements communs sombres avec une capuche"],
 "StartingMoney" : 1500
  },
"STREETS_CHILD":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
"HERMIT":  {
 "Id" : "HERMIT",
 "Name" : "Ermite",
 "Skills" : ["Médecine", "Religion"],
 "Objects" : ["Kit d'herboriste"],
 "StartingObjects" : ["Kit d'herboriste", "Etui à parchemin remplis de notes sur vos études ou vos prières", "Couverture pour l'hiver", "Vêtements communs"],
 "StartingMoney" : 500
  },
"PEOPLE_HERO":  {
 "Id" : "PEOPLE_HERO",
 "Name" : "Héros Du Peuple",
 "Skills" : ["Dressage", "Survie"],
 "Objects" : ["Véhicules (terrestres)"],
 "StartingObjects" : ["Pelle", "Pot en fer", "Vêtements communs"],
 "StartingMoney" : 1000
  },
"MARINE":  {
 "Id" : "MARINE",
 "Name" : "Marin",
 "Skills" : ["Athlétisme", "Perception"],
 "Objects" : ["Outils de navigateur", "Véhicules (aquatiques)"],
 "StartingObjects" : ["Corde en soie (15 m.)", "Porte bonheur", "Vêtements communs"],
 "StartingMoney" : 1500
  },
"NOBLE":  {
 "Id" : "NOBLE",
 "Name" : "Noble",
 "Skills" : ["Histoire", "Persuasion"],
 "Objects" : [],
 "StartingObjects" : ["Vêtements fins", "Chevalière", "Lettre de noblesse"],
 "StartingMoney" : 2500
  },
"WISE":  {
 "Id" : "WISE",
 "Name" : "Sage",
 "Skills" : ["Arcanes", "Histoire"],
 "Objects" : [],
 "StartingObjects" : ["Bouteille d'encre noire", "Plume", "Petit couteau", "Lettre d'un collègue mort posant une question à laquelle vous n'avez pas encore été en mesure de répondre", "Vêtements communs"],
 "StartingMoney" : 1000
  },
"SAUVAGEON":  {
 "Id" : "SAUVAGEON",
 "Name" : "Sauvageon",
 "Skills" : ["Athlétisme", "Survie"],
 "Objects" : [],
 "StartingObjects" : ["Piège à mâchoires", "Trophée d'animal que vous avez tué", "Vêtements de voyage "],
 "StartingMoney" : 1000
  },
"SOLDIER":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"Id" : "BOUNTY_HUNTER",
 "Name" : "Chasseur De Primes",
 "Skills" : [],
 "Objects" : [],
 "StartingObjects" : ["Vêtements appropriés à votre fonction"],
 "StartingMoney" : 2000
  },
"TORMENTED":  {
 "Id" : "TORMENTED",
 "Name" : "Tourmenté",
 "Skills" : [],
 "Objects" : [],
 "StartingObjects" : ["Vêtements communs", "Babiole ayant une signification particulière pour vous"],
 "StartingMoney" : 0
  },
"TRAVELER":  {
 "Id" : "TRAVELER",
 "Name" : "Voyageur *",
 "Skills" : ["Survie", "Persuasion"],
 "Objects" : [],
 "StartingObjects" : ["Bâton de marche", "Souvenir venu d’un pays lointain", "Livre rempli de notes sur vos périples ou de dessins", "Bouteille d'encre", "Plune", "Vêtements de voyage"],
 "StartingMoney" : 1000
  },
"CAPTIVE":  {
 "Id" : "CAPTIVE",
 "Name" : "Captif *",
 "Skills" : ["Nature", "Survie"],
 "Objects" : [],
 "StartingObjects" : ["Vêtements communs", "Bougie", "Gamelle", "Couverture"],
 "StartingMoney" : 500
  },
"VILLAGE_IDIOT":  {
 "Id" : "VILLAGE_IDIOT",
 "Name" : "Idiot Du Village *",
 "Skills" : ["Discrétion", "Représentation"],
 "Objects" : [],
 "StartingObjects" : ["Sifflet", "Vêtements communs rapiécés", "Bourse contenant de jolis cailloux et un autre objet au choix"],
 "StartingMoney" : 0
  }</v>
      </c>
      <c r="C13" t="str">
        <f t="shared" si="0"/>
        <v>"Historics" : {
 "ACOLYTE":  {
 "Id" : "ACOLYTE",
 "Name" : "Acolyte",
 "Skills" : ["Perspicacité", "Religion"],
 "Objects" : [],
 "StartingObjects" : ["Symbole sacré","Livre de prières", "5 bâtons d'encens", "Habits de cérémonie","Vêtements communs"],
 "StartingMoney" : 1500
  },
"GUILD_ARTISAN":  {
 "Id" : "GUILD_ARTISAN",
 "Name" : "Artisan De Guilde",
 "Skills" : ["Perspicacité", "Persuasion"],
 "Objects" : [],
 "StartingObjects" : ["Lettre de recommandation de votre guilde", "Vêtements de voyage"],
 "StartingMoney" : 1500
  },
"ARTIST":  {
 "Id" : "ARTIST",
 "Name" : "Artiste",
 "Skills" : ["Acrobatie", "Représentation"],
 "Objects" : ["Kit de déguisement"],
 "StartingObjects" : ["Cadeau d'un admirateur (une lettre d'amour, une mèche de cheveux, une babiole)", "Costume"],
 "StartingMoney" : 1500
  },
"CHARLATAN":  {
 "Id" : "CHARLATAN",
 "Name" : "Charlatan",
 "Skills" : ["Escamotage", "Tromperie"],
 "Objects" : ["Kit de déguisement", "Kit de contrefaçon"],
 "StartingObjects" : ["Kit de déguisement", "Vêtements fins"],
 "StartingMoney" : 1500
  },
"CRIMINAL":  {
 "Id" : "CRIMINAL",
 "Name" : "Criminel",
 "Skills" : ["Discrétion", "Tromperie"],
 "Objects" : ["Outils de voleur"],
 "StartingObjects" : ["Pied-de-biche", "Vêtements communs sombres avec une capuche"],
 "StartingMoney" : 1500
  },
"STREETS_CHILD":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
"HERMIT":  {
 "Id" : "HERMIT",
 "Name" : "Ermite",
 "Skills" : ["Médecine", "Religion"],
 "Objects" : ["Kit d'herboriste"],
 "StartingObjects" : ["Kit d'herboriste", "Etui à parchemin remplis de notes sur vos études ou vos prières", "Couverture pour l'hiver", "Vêtements communs"],
 "StartingMoney" : 500
  },
"PEOPLE_HERO":  {
 "Id" : "PEOPLE_HERO",
 "Name" : "Héros Du Peuple",
 "Skills" : ["Dressage", "Survie"],
 "Objects" : ["Véhicules (terrestres)"],
 "StartingObjects" : ["Pelle", "Pot en fer", "Vêtements communs"],
 "StartingMoney" : 1000
  },
"MARINE":  {
 "Id" : "MARINE",
 "Name" : "Marin",
 "Skills" : ["Athlétisme", "Perception"],
 "Objects" : ["Outils de navigateur", "Véhicules (aquatiques)"],
 "StartingObjects" : ["Corde en soie (15 m.)", "Porte bonheur", "Vêtements communs"],
 "StartingMoney" : 1500
  },
"NOBLE":  {
 "Id" : "NOBLE",
 "Name" : "Noble",
 "Skills" : ["Histoire", "Persuasion"],
 "Objects" : [],
 "StartingObjects" : ["Vêtements fins", "Chevalière", "Lettre de noblesse"],
 "StartingMoney" : 2500
  },
"WISE":  {
 "Id" : "WISE",
 "Name" : "Sage",
 "Skills" : ["Arcanes", "Histoire"],
 "Objects" : [],
 "StartingObjects" : ["Bouteille d'encre noire", "Plume", "Petit couteau", "Lettre d'un collègue mort posant une question à laquelle vous n'avez pas encore été en mesure de répondre", "Vêtements communs"],
 "StartingMoney" : 1000
  },
"SAUVAGEON":  {
 "Id" : "SAUVAGEON",
 "Name" : "Sauvageon",
 "Skills" : ["Athlétisme", "Survie"],
 "Objects" : [],
 "StartingObjects" : ["Piège à mâchoires", "Trophée d'animal que vous avez tué", "Vêtements de voyage "],
 "StartingMoney" : 1000
  },
"SOLDIER":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"Id" : "BOUNTY_HUNTER",
 "Name" : "Chasseur De Primes",
 "Skills" : [],
 "Objects" : [],
 "StartingObjects" : ["Vêtements appropriés à votre fonction"],
 "StartingMoney" : 2000
  },
"TORMENTED":  {
 "Id" : "TORMENTED",
 "Name" : "Tourmenté",
 "Skills" : [],
 "Objects" : [],
 "StartingObjects" : ["Vêtements communs", "Babiole ayant une signification particulière pour vous"],
 "StartingMoney" : 0
  },
"TRAVELER":  {
 "Id" : "TRAVELER",
 "Name" : "Voyageur *",
 "Skills" : ["Survie", "Persuasion"],
 "Objects" : [],
 "StartingObjects" : ["Bâton de marche", "Souvenir venu d’un pays lointain", "Livre rempli de notes sur vos périples ou de dessins", "Bouteille d'encre", "Plune", "Vêtements de voyage"],
 "StartingMoney" : 1000
  },
"CAPTIVE":  {
 "Id" : "CAPTIVE",
 "Name" : "Captif *",
 "Skills" : ["Nature", "Survie"],
 "Objects" : [],
 "StartingObjects" : ["Vêtements communs", "Bougie", "Gamelle", "Couverture"],
 "StartingMoney" : 500
  },
"VILLAGE_IDIOT":  {
 "Id" : "VILLAGE_IDIOT",
 "Name" : "Idiot Du Village *",
 "Skills" : ["Discrétion", "Représentation"],
 "Objects" : [],
 "StartingObjects" : ["Sifflet", "Vêtements communs rapiécés", "Bourse contenant de jolis cailloux et un autre objet au choix"],
 "StartingMoney" : 0
  }
 }</v>
      </c>
    </row>
    <row r="14" spans="1:3" ht="15" customHeight="1">
      <c r="A14" t="s">
        <v>1044</v>
      </c>
      <c r="B14" s="153" t="s">
        <v>1064</v>
      </c>
      <c r="C14" t="str">
        <f t="shared" si="0"/>
        <v>"HostelCategories" : {
 "HOSTEL": {"Code": "HOSTEL", "Name": "Auberge"},
   "MEAL": {"Code": "MEAL", "Name": "Repas (par jour)"},
   "FOOD": {"Code": "FOOD", "Name": "Nourriture"},
   "DRINK": {"Code": "DRINK", "Name": "Boisson"}
 }</v>
      </c>
    </row>
    <row r="15" spans="1:3" ht="15" customHeight="1">
      <c r="A15" t="s">
        <v>1053</v>
      </c>
      <c r="B15"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5"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6" spans="1:3" ht="15" customHeight="1">
      <c r="A16" t="s">
        <v>2612</v>
      </c>
      <c r="B16" t="str">
        <f>Langues!G23</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"QUORIAN": {
  "Code" : "QUORIAN",
  "Name" : "Quorien",
  "Type" : "EXOTIC",
  "Writing" : "-",
  "TypicalRaces" : "Kalashtar"
   },
"AQUATIC": {
  "Code" : "AQUATIC",
  "Name" : "Aquatique",
  "Type" : "EXOTIC",
  "Writing" : "-",
  "TypicalRaces" : "Efle aquatique"
   },
"AIR": {
  "Code" : "AIR",
  "Name" : "Aérien",
  "Type" : "EXOTIC",
  "Writing" : "-",
  "TypicalRaces" : "Aarakocra"
   }</v>
      </c>
      <c r="C16"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"QUORIAN": {
  "Code" : "QUORIAN",
  "Name" : "Quorien",
  "Type" : "EXOTIC",
  "Writing" : "-",
  "TypicalRaces" : "Kalashtar"
   },
"AQUATIC": {
  "Code" : "AQUATIC",
  "Name" : "Aquatique",
  "Type" : "EXOTIC",
  "Writing" : "-",
  "TypicalRaces" : "Efle aquatique"
   },
"AIR": {
  "Code" : "AIR",
  "Name" : "Aérien",
  "Type" : "EXOTIC",
  "Writing" : "-",
  "TypicalRaces" : "Aarakocra"
   }
 }</v>
      </c>
    </row>
    <row r="17" spans="1:3" ht="15" customHeight="1">
      <c r="A17" t="s">
        <v>1056</v>
      </c>
      <c r="B17"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7"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8" spans="1:3" ht="15" customHeight="1">
      <c r="A18" t="s">
        <v>5728</v>
      </c>
      <c r="B18" t="str">
        <f>'Types de monstres'!C19</f>
        <v>"ABERRATION": {
  "Code" : "ABERRATION",
  "Name" : "Aberration"   },
"BEAST": {
  "Code" : "BEAST",
  "Name" : "Bête"   },
"CELESTIAL": {
  "Code" : "CELESTIAL",
  "Name" : "Céleste"   },
"ARTIFICIAL_CREATURE": {
  "Code" : "ARTIFICIAL_CREATURE",
  "Name" : "Créature artificielle"   },
"MONSTROUS_CREATURE": {
  "Code" : "MONSTROUS_CREATURE",
  "Name" : "Créature monstrueuse"   },
"DRAGON": {
  "Code" : "DRAGON",
  "Name" : "Dragon"   },
"ELEMENTARY": {
  "Code" : "ELEMENTARY",
  "Name" : "Élémentaire"   },
"FAIRY": {
  "Code" : "FAIRY",
  "Name" : "Fée"   },
"FIEND": {
  "Code" : "FIEND",
  "Name" : "Fiélon"   },
"GIANT": {
  "Code" : "GIANT",
  "Name" : "Géant"   },
"HUMANOID": {
  "Code" : "HUMANOID",
  "Name" : "Humanoïde"   },
"UNDEAD": {
  "Code" : "UNDEAD",
  "Name" : "Mort-vivant"   },
"CLOUD_BEASTS": {
  "Code" : "CLOUD_BEASTS",
  "Name" : "Nuée de bêtes"   },
"CLOUD_HUMANOID": {
  "Code" : "CLOUD_HUMANOID",
  "Name" : "Nuée d'humanoïdes"   },
"PLANT": {
  "Code" : "PLANT",
  "Name" : "Plante"   },
"MUD": {
  "Code" : "MUD",
  "Name" : "Vase"   }</v>
      </c>
      <c r="C18" t="str">
        <f t="shared" si="0"/>
        <v>"MonsterFamilies" : {
 "ABERRATION": {
  "Code" : "ABERRATION",
  "Name" : "Aberration"   },
"BEAST": {
  "Code" : "BEAST",
  "Name" : "Bête"   },
"CELESTIAL": {
  "Code" : "CELESTIAL",
  "Name" : "Céleste"   },
"ARTIFICIAL_CREATURE": {
  "Code" : "ARTIFICIAL_CREATURE",
  "Name" : "Créature artificielle"   },
"MONSTROUS_CREATURE": {
  "Code" : "MONSTROUS_CREATURE",
  "Name" : "Créature monstrueuse"   },
"DRAGON": {
  "Code" : "DRAGON",
  "Name" : "Dragon"   },
"ELEMENTARY": {
  "Code" : "ELEMENTARY",
  "Name" : "Élémentaire"   },
"FAIRY": {
  "Code" : "FAIRY",
  "Name" : "Fée"   },
"FIEND": {
  "Code" : "FIEND",
  "Name" : "Fiélon"   },
"GIANT": {
  "Code" : "GIANT",
  "Name" : "Géant"   },
"HUMANOID": {
  "Code" : "HUMANOID",
  "Name" : "Humanoïde"   },
"UNDEAD": {
  "Code" : "UNDEAD",
  "Name" : "Mort-vivant"   },
"CLOUD_BEASTS": {
  "Code" : "CLOUD_BEASTS",
  "Name" : "Nuée de bêtes"   },
"CLOUD_HUMANOID": {
  "Code" : "CLOUD_HUMANOID",
  "Name" : "Nuée d'humanoïdes"   },
"PLANT": {
  "Code" : "PLANT",
  "Name" : "Plante"   },
"MUD": {
  "Code" : "MUD",
  "Name" : "Vase"   }
 }</v>
      </c>
    </row>
    <row r="19" spans="1:3" ht="15" customHeight="1">
      <c r="A19" t="s">
        <v>5729</v>
      </c>
      <c r="B19" t="str">
        <f>'Types de monstres'!H51</f>
        <v>"AARAKOCRA": {
  "Code" : "AARAKOCRA",
  "Name" : "Aarakocra"   },
"BRUTAL": {
  "Code" : "BRUTAL",
  "Name" : "Brutacien"   },
"CHANGELIN": {
  "Code" : "CHANGELIN",
  "Name" : "Changelin"   },
"HALF-ELF": {
  "Code" : "HALF-ELF",
  "Name" : "Demi-elfe"   },
"DAEMON": {
  "Code" : "DAEMON",
  "Name" : "Démon"   },
"DERRO": {
  "Code" : "DERRO",
  "Name" : "Derro"   },
"DEVIL": {
  "Code" : "DEVIL",
  "Name" : "Diable"   },
"ELF": {
  "Code" : "ELF",
  "Name" : "Elfe"   },
"FERAL": {
  "Code" : "FERAL",
  "Name" : "Féral"   },
"WARFORGED": {
  "Code" : "WARFORGED",
  "Name" : "Forgelier"   },
"GIANT_HILLS": {
  "Code" : "GIANT_HILLS",
  "Name" : "Géant des collines"   },
"GIANT_CLOUDS": {
  "Code" : "GIANT_CLOUDS",
  "Name" : "Géant des nuages"   },
"GIANT_STONES": {
  "Code" : "GIANT_STONES",
  "Name" : "Géant des pierres"   },
"GIANT_STORMS": {
  "Code" : "GIANT_STORMS",
  "Name" : "Géant des tempêtes"   },
"GIANT_FIRE": {
  "Code" : "GIANT_FIRE",
  "Name" : "Géant du feu"   },
"GIANT_FROSTED": {
  "Code" : "GIANT_FROSTED",
  "Name" : "Géant du givre"   },
"GITH": {
  "Code" : "GITH",
  "Name" : "Gith"   },
"GNOLL": {
  "Code" : "GNOLL",
  "Name" : "Gnoll"   },
"GNOME": {
  "Code" : "GNOME",
  "Name" : "Gnome"   },
"GOBELINOID": {
  "Code" : "GOBELINOID",
  "Name" : "Gobelinoïde"   },
"GRUNG": {
  "Code" : "GRUNG",
  "Name" : "Grung"   },
"HALFELIN": {
  "Code" : "HALFELIN",
  "Name" : "Halfelin"   },
"LIZARD_MAN": {
  "Code" : "LIZARD_MAN",
  "Name" : "Homme-lézard"   },
"FISH_MAN": {
  "Code" : "FISH_MAN",
  "Name" : "Homme-poisson"   },
"HUMAN": {
  "Code" : "HUMAN",
  "Name" : "Humain"   },
"INEVITABLE": {
  "Code" : "INEVITABLE",
  "Name" : "Inévitable"   },
"KALASHTAR": {
  "Code" : "KALASHTAR",
  "Name" : "Kalashtar"   },
"KENKU": {
  "Code" : "KENKU",
  "Name" : "Kenku"   },
"KEBOLD": {
  "Code" : "KEBOLD",
  "Name" : "Kobold"   },
"Kuo-toa": {
  "Code" : "Kuo-toa",
  "Name" : "Kuo-toa"   },
"MEAZEL": {
  "Code" : "MEAZEL",
  "Name" : "Meazel"   },
"METAMORPH": {
  "Code" : "METAMORPH",
  "Name" : "Métamorphe"   },
"NAGPA": {
  "Code" : "NAGPA",
  "Name" : "Nagpa"   },
"DWARF": {
  "Code" : "DWARF",
  "Name" : "Nain"   },
"MONTAINS_DWARF": {
  "Code" : "MONTAINS_DWARF",
  "Name" : "Nain des montagnes"   },
"ORC": {
  "Code" : "ORC",
  "Name" : "Orque"   },
"QUAGGOTH": {
  "Code" : "QUAGGOTH",
  "Name" : "Quaggoth"   },
"SAHUAGIN": {
  "Code" : "SAHUAGIN",
  "Name" : "sahuagin"   },
"TABAXI": {
  "Code" : "TABAXI",
  "Name" : "Tabaxi"   },
"THRI_KREEN": {
  "Code" : "THRI_KREEN",
  "Name" : "Thri-kreen"   },
"TITAN": {
  "Code" : "TITAN",
  "Name" : "Titan"   },
"TORTUGA": {
  "Code" : "TORTUGA",
  "Name" : "Tortuga"   },
"TORVE": {
  "Code" : "TORVE",
  "Name" : "Torve"   },
"FIRE_NEWT": {
  "Code" : "FIRE_NEWT",
  "Name" : "Triton du feu"   },
"TROGLODYTE": {
  "Code" : "TROGLODYTE",
  "Name" : "Troglodyte"   },
"XVART": {
  "Code" : "XVART",
  "Name" : "Xvart"   },
"YUAN_TI": {
  "Code" : "YUAN_TI",
  "Name" : "Yuan-ti"   },
"YUGOLOTH": {
  "Code" : "YUGOLOTH",
  "Name" : "Yugoloth"   }</v>
      </c>
      <c r="C19" t="str">
        <f t="shared" si="0"/>
        <v>"MonsterSpecies" : {
 "AARAKOCRA": {
  "Code" : "AARAKOCRA",
  "Name" : "Aarakocra"   },
"BRUTAL": {
  "Code" : "BRUTAL",
  "Name" : "Brutacien"   },
"CHANGELIN": {
  "Code" : "CHANGELIN",
  "Name" : "Changelin"   },
"HALF-ELF": {
  "Code" : "HALF-ELF",
  "Name" : "Demi-elfe"   },
"DAEMON": {
  "Code" : "DAEMON",
  "Name" : "Démon"   },
"DERRO": {
  "Code" : "DERRO",
  "Name" : "Derro"   },
"DEVIL": {
  "Code" : "DEVIL",
  "Name" : "Diable"   },
"ELF": {
  "Code" : "ELF",
  "Name" : "Elfe"   },
"FERAL": {
  "Code" : "FERAL",
  "Name" : "Féral"   },
"WARFORGED": {
  "Code" : "WARFORGED",
  "Name" : "Forgelier"   },
"GIANT_HILLS": {
  "Code" : "GIANT_HILLS",
  "Name" : "Géant des collines"   },
"GIANT_CLOUDS": {
  "Code" : "GIANT_CLOUDS",
  "Name" : "Géant des nuages"   },
"GIANT_STONES": {
  "Code" : "GIANT_STONES",
  "Name" : "Géant des pierres"   },
"GIANT_STORMS": {
  "Code" : "GIANT_STORMS",
  "Name" : "Géant des tempêtes"   },
"GIANT_FIRE": {
  "Code" : "GIANT_FIRE",
  "Name" : "Géant du feu"   },
"GIANT_FROSTED": {
  "Code" : "GIANT_FROSTED",
  "Name" : "Géant du givre"   },
"GITH": {
  "Code" : "GITH",
  "Name" : "Gith"   },
"GNOLL": {
  "Code" : "GNOLL",
  "Name" : "Gnoll"   },
"GNOME": {
  "Code" : "GNOME",
  "Name" : "Gnome"   },
"GOBELINOID": {
  "Code" : "GOBELINOID",
  "Name" : "Gobelinoïde"   },
"GRUNG": {
  "Code" : "GRUNG",
  "Name" : "Grung"   },
"HALFELIN": {
  "Code" : "HALFELIN",
  "Name" : "Halfelin"   },
"LIZARD_MAN": {
  "Code" : "LIZARD_MAN",
  "Name" : "Homme-lézard"   },
"FISH_MAN": {
  "Code" : "FISH_MAN",
  "Name" : "Homme-poisson"   },
"HUMAN": {
  "Code" : "HUMAN",
  "Name" : "Humain"   },
"INEVITABLE": {
  "Code" : "INEVITABLE",
  "Name" : "Inévitable"   },
"KALASHTAR": {
  "Code" : "KALASHTAR",
  "Name" : "Kalashtar"   },
"KENKU": {
  "Code" : "KENKU",
  "Name" : "Kenku"   },
"KEBOLD": {
  "Code" : "KEBOLD",
  "Name" : "Kobold"   },
"Kuo-toa": {
  "Code" : "Kuo-toa",
  "Name" : "Kuo-toa"   },
"MEAZEL": {
  "Code" : "MEAZEL",
  "Name" : "Meazel"   },
"METAMORPH": {
  "Code" : "METAMORPH",
  "Name" : "Métamorphe"   },
"NAGPA": {
  "Code" : "NAGPA",
  "Name" : "Nagpa"   },
"DWARF": {
  "Code" : "DWARF",
  "Name" : "Nain"   },
"MONTAINS_DWARF": {
  "Code" : "MONTAINS_DWARF",
  "Name" : "Nain des montagnes"   },
"ORC": {
  "Code" : "ORC",
  "Name" : "Orque"   },
"QUAGGOTH": {
  "Code" : "QUAGGOTH",
  "Name" : "Quaggoth"   },
"SAHUAGIN": {
  "Code" : "SAHUAGIN",
  "Name" : "sahuagin"   },
"TABAXI": {
  "Code" : "TABAXI",
  "Name" : "Tabaxi"   },
"THRI_KREEN": {
  "Code" : "THRI_KREEN",
  "Name" : "Thri-kreen"   },
"TITAN": {
  "Code" : "TITAN",
  "Name" : "Titan"   },
"TORTUGA": {
  "Code" : "TORTUGA",
  "Name" : "Tortuga"   },
"TORVE": {
  "Code" : "TORVE",
  "Name" : "Torve"   },
"FIRE_NEWT": {
  "Code" : "FIRE_NEWT",
  "Name" : "Triton du feu"   },
"TROGLODYTE": {
  "Code" : "TROGLODYTE",
  "Name" : "Troglodyte"   },
"XVART": {
  "Code" : "XVART",
  "Name" : "Xvart"   },
"YUAN_TI": {
  "Code" : "YUAN_TI",
  "Name" : "Yuan-ti"   },
"YUGOLOTH": {
  "Code" : "YUGOLOTH",
  "Name" : "Yugoloth"   }
 }</v>
      </c>
    </row>
    <row r="20" spans="1:3" ht="15" customHeight="1">
      <c r="A20" t="s">
        <v>5730</v>
      </c>
      <c r="B20" t="str">
        <f>Monstres!P822</f>
        <v>"Aarakocra":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 : "Iron Consul</v>
      </c>
      <c r="C20" t="str">
        <f t="shared" si="0"/>
        <v>"Monsters" : {
 "Aarakocra":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v>
      </c>
    </row>
    <row r="21" spans="1:3" ht="15" customHeight="1">
      <c r="A21" t="s">
        <v>1050</v>
      </c>
      <c r="B21"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21"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22" spans="1:3" ht="15" customHeight="1">
      <c r="A22" t="s">
        <v>1042</v>
      </c>
      <c r="B22" t="str">
        <f>Objets!H182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
"WARES":  {"Code": "WARES", "Name": "Marchandises", "OV": "Wares"},
"TRINKETS":  {"Code": "TRINKETS", "Name": "Babioles", "OV": "Trinkets"}</v>
      </c>
      <c r="C22"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
"WARES":  {"Code": "WARES", "Name": "Marchandises", "OV": "Wares"},
"TRINKETS":  {"Code": "TRINKETS", "Name": "Babioles", "OV": "Trinkets"}
 }</v>
      </c>
    </row>
    <row r="23" spans="1:3" ht="15" customHeight="1">
      <c r="A23" t="s">
        <v>1048</v>
      </c>
      <c r="B23" t="str">
        <f>Objets!H180</f>
        <v xml:space="preserve">"Chalemie":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"500 g de blé": {
 "Name" : "500 g de blé",
 "OV" : "",
 "Category": "WARES",
 "Weight" : 0,
 "Price" : 1
  },
"500 g de farine ou 1 poulet": {
 "Name" : "500 g de farine ou 1 poulet",
 "OV" : "",
 "Category": "WARES",
 "Weight" : 0,
 "Price" : 2
  },
"500 g de sel": {
 "Name" : "500 g de sel",
 "OV" : "",
 "Category": "WARES",
 "Weight" : 0,
 "Price" : 5
  },
"500 g de fer ou 1 m² de toile": {
 "Name" : "500 g de fer ou 1 m² de toile",
 "OV" : "",
 "Category": "WARES",
 "Weight" : 0,
 "Price" : 10
  },
"500 g de cuivre ou 1 m² de tissu en coton": {
 "Name" : "500 g de cuivre ou 1 m² de tissu en coton",
 "OV" : "",
 "Category": "WARES",
 "Weight" : 0,
 "Price" : 50
  },
"500 g de gingembre ou 1 chèvre": {
 "Name" : "500 g de gingembre ou 1 chèvre",
 "OV" : "",
 "Category": "WARES",
 "Weight" : 0,
 "Price" : 100
  },
"500 g de cannelle ou de poivre, ou 1 mouton": {
 "Name" : "500 g de cannelle ou de poivre, ou 1 mouton",
 "OV" : "",
 "Category": "WARES",
 "Weight" : 0,
 "Price" : 200
  },
"500 g de clous de girofle ou 1 cochon": {
 "Name" : "500 g de clous de girofle ou 1 cochon",
 "OV" : "",
 "Category": "WARES",
 "Weight" : 0,
 "Price" : 300
  },
"500 g d'argent ou 1 m² de lin": {
 "Name" : "500 g d'argent ou 1 m² de lin",
 "OV" : "",
 "Category": "WARES",
 "Weight" : 0,
 "Price" : 500
  },
"1 m² de soie ou 1 vache": {
 "Name" : "1 m² de soie ou 1 vache",
 "OV" : "",
 "Category": "WARES",
 "Weight" : 0,
 "Price" : 1000
  },
"500 g de safran ou 1 boeuf": {
 "Name" : "500 g de safran ou 1 boeuf",
 "OV" : "",
 "Category": "WARES",
 "Weight" : 0,
 "Price" : 1500
  },
"500 g d'or": {
 "Name" : "500 g d'or",
 "OV" : "",
 "Category": "WARES",
 "Weight" : 0,
 "Price" : 5000
  },
"500 g de platine": {
 "Name" : "500 g de platine",
 "OV" : "",
 "Category": "WARES",
 "Weight" : 0,
 "Price" : 50000
  },
"Une main de gobelin momifiée": {
 "Name" : "Une main de gobelin momifiée",
 "OV" : "",
 "Category": "TRINKETS",
 "Weight" : 0,
 "Price" : 0
  },
"Un morceau de cristal qui brille faiblement au clair de lune": {
 "Name" : "Un morceau de cristal qui brille faiblement au clair de lune",
 "OV" : "",
 "Category": "TRINKETS",
 "Weight" : 0,
 "Price" : 0
  },
"Une pièce d'or d'une terre inconnue": {
 "Name" : "Une pièce d'or d'une terre inconnue",
 "OV" : "",
 "Category": "TRINKETS",
 "Weight" : 0,
 "Price" : 0
  },
"Un journal écrit dans une langue que vous ne connaissez pas": {
 "Name" : "Un journal écrit dans une langue que vous ne connaissez pas",
 "OV" : "",
 "Category": "TRINKETS",
 "Weight" : 0,
 "Price" : 0
  },
"Un anneau de cuivre qui ne ternit pas": {
 "Name" : "Un anneau de cuivre qui ne ternit pas",
 "OV" : "",
 "Category": "TRINKETS",
 "Weight" : 0,
 "Price" : 0
  },
"Une vieille pièce d'échecs en verre": {
 "Name" : "Une vieille pièce d'échecs en verre",
 "OV" : "",
 "Category": "TRINKETS",
 "Weight" : 0,
 "Price" : 0
  },
"Une paire de dés en osselet, chacun portant le symbole d'un crâne sur la face qui montrerait normalement le 6": {
 "Name" : "Une paire de dés en osselet, chacun portant le symbole d'un crâne sur la face qui montrerait normalement le 6",
 "OV" : "",
 "Category": "TRINKETS",
 "Weight" : 0,
 "Price" : 0
  },
"Une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
"Un collier en corde duquel pendent quatre doigts elfes momifiés": {
 "Name" : "Un collier en corde duquel pendent quatre doigts elfes momifiés",
 "OV" : "",
 "Category": "TRINKETS",
 "Weight" : 0,
 "Price" : 0
  },
"L'acte d'une parcelle de terrain d'un domaine que vous ne connaissez pas": {
 "Name" : "L'acte d'une parcelle de terrain d'un domaine que vous ne connaissez pas",
 "OV" : "",
 "Category": "TRINKETS",
 "Weight" : 0,
 "Price" : 0
  },
"Un bloc de 30 grammes d'un matériau inconnu": {
 "Name" : "Un bloc de 30 grammes d'un matériau inconnu",
 "OV" : "",
 "Category": "TRINKETS",
 "Weight" : 0,
 "Price" : 0
  },
"Une petite poupée de chiffon piquée avec des aiguilles": {
 "Name" : "Une petite poupée de chiffon piquée avec des aiguilles",
 "OV" : "",
 "Category": "TRINKETS",
 "Weight" : 0,
 "Price" : 0
  },
"Une dent d'une bête inconnue": {
 "Name" : "Une dent d'une bête inconnue",
 "OV" : "",
 "Category": "TRINKETS",
 "Weight" : 0,
 "Price" : 0
  },
"Une énorme écaille, peut-être d'un dragon": {
 "Name" : "Une énorme écaille, peut-être d'un dragon",
 "OV" : "",
 "Category": "TRINKETS",
 "Weight" : 0,
 "Price" : 0
  },
"Une plume vert clair": {
 "Name" : "Une plume vert clair",
 "OV" : "",
 "Category": "TRINKETS",
 "Weight" : 0,
 "Price" : 0
  },
"Une vieille carte de divination portant votre portrait": {
 "Name" : "Une vieille carte de divination portant votre portrait",
 "OV" : "",
 "Category": "TRINKETS",
 "Weight" : 0,
 "Price" : 0
  },
"Un orbe en verre rempli de fumée qui se déplace": {
 "Name" : "Un orbe en verre rempli de fumée qui se déplace",
 "OV" : "",
 "Category": "TRINKETS",
 "Weight" : 0,
 "Price" : 0
  },
"Un oeuf de 30 grammes avec une coque rouge vif": {
 "Name" : "Un oeuf de 30 grammes avec une coque rouge vif",
 "OV" : "",
 "Category": "TRINKETS",
 "Weight" : 0,
 "Price" : 0
  },
"Une pipe qui fait des bulles": {
 "Name" : "Une pipe qui fait des bulles",
 "OV" : "",
 "Category": "TRINKETS",
 "Weight" : 0,
 "Price" : 0
  },
"Un pot en verre contenant un morceau de chair bizarre qui flotte dans un liquide salé": {
 "Name" : "Un pot en verre contenant un morceau de chair bizarre qui flotte dans un liquide salé",
 "OV" : "",
 "Category": "TRINKETS",
 "Weight" : 0,
 "Price" : 0
  },
"Une petite boîte à musique de gnome qui joue une chanson qui vous rappelle vaguement votre enfance": {
 "Name" : "Une petite boîte à musique de gnome qui joue une chanson qui vous rappelle vaguement votre enfance",
 "OV" : "",
 "Category": "TRINKETS",
 "Weight" : 0,
 "Price" : 0
  },
"Une petite statuette en bois d'un halfelin béat": {
 "Name" : "Une petite statuette en bois d'un halfelin béat",
 "OV" : "",
 "Category": "TRINKETS",
 "Weight" : 0,
 "Price" : 0
  },
</v>
      </c>
      <c r="C2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"500 g de blé": {
 "Name" : "500 g de blé",
 "OV" : "",
 "Category": "WARES",
 "Weight" : 0,
 "Price" : 1
  },
"500 g de farine ou 1 poulet": {
 "Name" : "500 g de farine ou 1 poulet",
 "OV" : "",
 "Category": "WARES",
 "Weight" : 0,
 "Price" : 2
  },
"500 g de sel": {
 "Name" : "500 g de sel",
 "OV" : "",
 "Category": "WARES",
 "Weight" : 0,
 "Price" : 5
  },
"500 g de fer ou 1 m² de toile": {
 "Name" : "500 g de fer ou 1 m² de toile",
 "OV" : "",
 "Category": "WARES",
 "Weight" : 0,
 "Price" : 10
  },
"500 g de cuivre ou 1 m² de tissu en coton": {
 "Name" : "500 g de cuivre ou 1 m² de tissu en coton",
 "OV" : "",
 "Category": "WARES",
 "Weight" : 0,
 "Price" : 50
  },
"500 g de gingembre ou 1 chèvre": {
 "Name" : "500 g de gingembre ou 1 chèvre",
 "OV" : "",
 "Category": "WARES",
 "Weight" : 0,
 "Price" : 100
  },
"500 g de cannelle ou de poivre, ou 1 mouton": {
 "Name" : "500 g de cannelle ou de poivre, ou 1 mouton",
 "OV" : "",
 "Category": "WARES",
 "Weight" : 0,
 "Price" : 200
  },
"500 g de clous de girofle ou 1 cochon": {
 "Name" : "500 g de clous de girofle ou 1 cochon",
 "OV" : "",
 "Category": "WARES",
 "Weight" : 0,
 "Price" : 300
  },
"500 g d'argent ou 1 m² de lin": {
 "Name" : "500 g d'argent ou 1 m² de lin",
 "OV" : "",
 "Category": "WARES",
 "Weight" : 0,
 "Price" : 500
  },
"1 m² de soie ou 1 vache": {
 "Name" : "1 m² de soie ou 1 vache",
 "OV" : "",
 "Category": "WARES",
 "Weight" : 0,
 "Price" : 1000
  },
"500 g de safran ou 1 boeuf": {
 "Name" : "500 g de safran ou 1 boeuf",
 "OV" : "",
 "Category": "WARES",
 "Weight" : 0,
 "Price" : 1500
  },
"500 g d'or": {
 "Name" : "500 g d'or",
 "OV" : "",
 "Category": "WARES",
 "Weight" : 0,
 "Price" : 5000
  },
"500 g de platine": {
 "Name" : "500 g de platine",
 "OV" : "",
 "Category": "WARES",
 "Weight" : 0,
 "Price" : 50000
  },
"Une main de gobelin momifiée": {
 "Name" : "Une main de gobelin momifiée",
 "OV" : "",
 "Category": "TRINKETS",
 "Weight" : 0,
 "Price" : 0
  },
"Un morceau de cristal qui brille faiblement au clair de lune": {
 "Name" : "Un morceau de cristal qui brille faiblement au clair de lune",
 "OV" : "",
 "Category": "TRINKETS",
 "Weight" : 0,
 "Price" : 0
  },
"Une pièce d'or d'une terre inconnue": {
 "Name" : "Une pièce d'or d'une terre inconnue",
 "OV" : "",
 "Category": "TRINKETS",
 "Weight" : 0,
 "Price" : 0
  },
"Un journal écrit dans une langue que vous ne connaissez pas": {
 "Name" : "Un journal écrit dans une langue que vous ne connaissez pas",
 "OV" : "",
 "Category": "TRINKETS",
 "Weight" : 0,
 "Price" : 0
  },
"Un anneau de cuivre qui ne ternit pas": {
 "Name" : "Un anneau de cuivre qui ne ternit pas",
 "OV" : "",
 "Category": "TRINKETS",
 "Weight" : 0,
 "Price" : 0
  },
"Une vieille pièce d'échecs en verre": {
 "Name" : "Une vieille pièce d'échecs en verre",
 "OV" : "",
 "Category": "TRINKETS",
 "Weight" : 0,
 "Price" : 0
  },
"Une paire de dés en osselet, chacun portant le symbole d'un crâne sur la face qui montrerait normalement le 6": {
 "Name" : "Une paire de dés en osselet, chacun portant le symbole d'un crâne sur la face qui montrerait normalement le 6",
 "OV" : "",
 "Category": "TRINKETS",
 "Weight" : 0,
 "Price" : 0
  },
"Une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
"Un collier en corde duquel pendent quatre doigts elfes momifiés": {
 "Name" : "Un collier en corde duquel pendent quatre doigts elfes momifiés",
 "OV" : "",
 "Category": "TRINKETS",
 "Weight" : 0,
 "Price" : 0
  },
"L'acte d'une parcelle de terrain d'un domaine que vous ne connaissez pas": {
 "Name" : "L'acte d'une parcelle de terrain d'un domaine que vous ne connaissez pas",
 "OV" : "",
 "Category": "TRINKETS",
 "Weight" : 0,
 "Price" : 0
  },
"Un bloc de 30 grammes d'un matériau inconnu": {
 "Name" : "Un bloc de 30 grammes d'un matériau inconnu",
 "OV" : "",
 "Category": "TRINKETS",
 "Weight" : 0,
 "Price" : 0
  },
"Une petite poupée de chiffon piquée avec des aiguilles": {
 "Name" : "Une petite poupée de chiffon piquée avec des aiguilles",
 "OV" : "",
 "Category": "TRINKETS",
 "Weight" : 0,
 "Price" : 0
  },
"Une dent d'une bête inconnue": {
 "Name" : "Une dent d'une bête inconnue",
 "OV" : "",
 "Category": "TRINKETS",
 "Weight" : 0,
 "Price" : 0
  },
"Une énorme écaille, peut-être d'un dragon": {
 "Name" : "Une énorme écaille, peut-être d'un dragon",
 "OV" : "",
 "Category": "TRINKETS",
 "Weight" : 0,
 "Price" : 0
  },
"Une plume vert clair": {
 "Name" : "Une plume vert clair",
 "OV" : "",
 "Category": "TRINKETS",
 "Weight" : 0,
 "Price" : 0
  },
"Une vieille carte de divination portant votre portrait": {
 "Name" : "Une vieille carte de divination portant votre portrait",
 "OV" : "",
 "Category": "TRINKETS",
 "Weight" : 0,
 "Price" : 0
  },
"Un orbe en verre rempli de fumée qui se déplace": {
 "Name" : "Un orbe en verre rempli de fumée qui se déplace",
 "OV" : "",
 "Category": "TRINKETS",
 "Weight" : 0,
 "Price" : 0
  },
"Un oeuf de 30 grammes avec une coque rouge vif": {
 "Name" : "Un oeuf de 30 grammes avec une coque rouge vif",
 "OV" : "",
 "Category": "TRINKETS",
 "Weight" : 0,
 "Price" : 0
  },
"Une pipe qui fait des bulles": {
 "Name" : "Une pipe qui fait des bulles",
 "OV" : "",
 "Category": "TRINKETS",
 "Weight" : 0,
 "Price" : 0
  },
"Un pot en verre contenant un morceau de chair bizarre qui flotte dans un liquide salé": {
 "Name" : "Un pot en verre contenant un morceau de chair bizarre qui flotte dans un liquide salé",
 "OV" : "",
 "Category": "TRINKETS",
 "Weight" : 0,
 "Price" : 0
  },
"Une petite boîte à musique de gnome qui joue une chanson qui vous rappelle vaguement votre enfance": {
 "Name" : "Une petite boîte à musique de gnome qui joue une chanson qui vous rappelle vaguement votre enfance",
 "OV" : "",
 "Category": "TRINKETS",
 "Weight" : 0,
 "Price" : 0
  },
"Une petite statuette en bois d'un halfelin béat": {
 "Name" : "Une petite statuette en bois d'un halfelin béat",
 "OV" : "",
 "Category": "TRINKETS",
 "Weight" : 0,
 "Price" : 0
  },
 }</v>
      </c>
    </row>
    <row r="24" spans="1:3" ht="15" customHeight="1">
      <c r="A24" t="s">
        <v>3</v>
      </c>
      <c r="B24" t="str">
        <f>Races!S24</f>
        <v>"ELF": {
 "Id" : "ELF",
 "Name" : "Elfe",
 "OV" : "Elf",
 "Strength" : 0,
 "Constitution" : 0,
 "Dexterity" : 2,
 "Intelligence" : 0,
 "Wisdom" : 0,
 "Charisma" : 0,
 "Speed" : 9,
 "Weapons" : [],
 "Languages" : ["ELVISH"],
 "Resistances" : [],
 "SaveAdvantages" : ["CHARM"],
"ACBonus": 0,
"Skills" : []
  },
"HALFELIN": {
 "Id" : "HALFELIN",
 "Name" : "Halfelin",
 "OV" : "Halfelin",
 "Strength" : 0,
 "Constitution" : 0,
 "Dexterity" : 2,
 "Intelligence" : 0,
 "Wisdom" : 0,
 "Charisma" : 0,
 "Speed" : 7.5,
 "Weapons" : [],
 "Languages" : ["COMMON", "HALFELIN"],
 "Resistances" : [],
 "SaveAdvantages" : ["FEAR"],
"ACBonus": 0,
"Skills" : []
  },
"HUMAN": {
 "Id" : "HUMAN",
 "Name" : "Humain",
 "OV" : "Human",
 "Strength" : 1,
 "Constitution" : 1,
 "Dexterity" : 1,
 "Intelligence" : 1,
 "Wisdom" : 1,
 "Charisma" : 1,
 "Speed" : 9,
 "Weapons" : [],
 "Languages" : ["COMMON"],
 "Resistances" : [],
 "SaveAdvantages" : [],
"ACBonus": 0,
"Skills" : []
  },
"DWARF": {
 "Id" : "DWARF",
 "Name" : "Nain",
 "OV" : "Dwarf",
 "Strength" : 0,
 "Constitution" : 2,
 "Dexterity" : 0,
 "Intelligence" : 0,
 "Wisdom" : 0,
 "Charisma" : 0,
 "Speed" : 7.5,
 "Weapons" : ["Hachette", "Hache d'armes", "Marteau léger", "Marteau de guerre"],
 "Languages" : ["DWARF"],
 "Resistances" : ["POISON"],
 "SaveAdvantages" : ["POISON"],
"ACBonus": 0,
"Skills" : []
  },
"HALF_ELF": {
 "Id" : "HALF_ELF",
 "Name" : "Demi-Elfe",
 "OV" : "Half-Elf",
 "Strength" : 0,
 "Constitution" : 0,
 "Dexterity" : 0,
 "Intelligence" : 0,
 "Wisdom" : 0,
 "Charisma" : 2,
 "Speed" : 9,
 "Weapons" : [],
 "Languages" : ["COMMON", "ELVISH"],
 "Resistances" : [],
 "SaveAdvantages" : [],
"ACBonus": 0,
"Skills" : []
  },
"HALF_ORC": {
 "Id" : "HALF_ORC",
 "Name" : "Demi-Orque",
 "OV" : "Half-Orc",
 "Strength" : 2,
 "Constitution" : 1,
 "Dexterity" : 0,
 "Intelligence" : 0,
 "Wisdom" : 0,
 "Charisma" : 0,
 "Speed" : 9,
 "Weapons" : [],
 "Languages" : ["COMMON", "ORC"],
 "Resistances" : [],
 "SaveAdvantages" : [],
"ACBonus": 0,
"Skills" : []
  },
"DRAGON_BORN": {
 "Id" : "DRAGON_BORN",
 "Name" : "Drakéide",
 "OV" : "Dragon Born",
 "Strength" : 2,
 "Constitution" : 0,
 "Dexterity" : 0,
 "Intelligence" : 0,
 "Wisdom" : 0,
 "Charisma" : 1,
 "Speed" : 9,
 "Weapons" : [],
 "Languages" : ["COMMON", "DRACONIC"],
 "Resistances" : [],
 "SaveAdvantages" : [],
"ACBonus": 0,
"Skills" : []
  },
"GNOME": {
 "Id" : "GNOME",
 "Name" : "Gnome",
 "OV" : "Gnome",
 "Strength" : 0,
 "Constitution" : 0,
 "Dexterity" : 0,
 "Intelligence" : 2,
 "Wisdom" : 0,
 "Charisma" : 0,
 "Speed" : 7.5,
 "Weapons" : [],
 "Languages" : ["COMMON", "GNOME"],
 "Resistances" : [],
 "SaveAdvantages" : ["INT", "SAG", "CHA"],
"ACBonus": 0,
"Skills" : []
  },
"TIEFFLING": {
 "Id" : "TIEFFLING",
 "Name" : "Tieffelin",
 "OV" : "Tieffling",
 "Strength" : 0,
 "Constitution" : 0,
 "Dexterity" : 0,
 "Intelligence" : 0,
 "Wisdom" : 0,
 "Charisma" : 0,
 "Speed" : 9,
 "Weapons" : [],
 "Languages" : ["COMMON", "INFERNAL"],
 "Resistances" : [],
 "SaveAdvantages" : [],
"ACBonus": 0,
"Skills" : []
  },
"AARAKOCRA": {
 "Id" : "AARAKOCRA",
 "Name" : "Aarakocra *",
 "OV" : "Aarakocra",
 "Strength" : 0,
 "Constitution" : 0,
 "Dexterity" : 2,
 "Intelligence" : 0,
 "Wisdom" : 1,
 "Charisma" : 0,
 "Speed" : 7.5,
 "Weapons" : [],
 "Languages" : ["COMMON", "AARAKOCRA", "AIR"],
 "Resistances" : [],
 "SaveAdvantages" : [],
"ACBonus": 0,
"Skills" : []
  },
"GENASI": {
 "Id" : "GENASI",
 "Name" : "Génasi *",
 "OV" : "Genasi",
 "Strength" : 0,
 "Constitution" : 2,
 "Dexterity" : 0,
 "Intelligence" : 0,
 "Wisdom" : 0,
 "Charisma" : 0,
 "Speed" : 9,
 "Weapons" : [],
 "Languages" : ["COMMON", "PRIMARY"],
 "Resistances" : [],
 "SaveAdvantages" : [],
"ACBonus": 0,
"Skills" : []
  },
"GOLIATH": {
 "Id" : "GOLIATH",
 "Name" : "Goliath *",
 "OV" : "Goliath",
 "Strength" : 2,
 "Constitution" : 1,
 "Dexterity" : 0,
 "Intelligence" : 0,
 "Wisdom" : 0,
 "Charisma" : 0,
 "Speed" : 9,
 "Weapons" : [],
 "Languages" : ["COMMON", "GIANT"],
 "Resistances" : [],
 "SaveAdvantages" : [],
"ACBonus": 0,
"Skills" : []
  },
"KALASHTAR": {
 "Id" : "KALASHTAR",
 "Name" : "Kalashtar",
 "OV" : "Kalashtar",
 "Strength" : 0,
 "Constitution" : 0,
 "Dexterity" : 0,
 "Intelligence" : 0,
 "Wisdom" : 1,
 "Charisma" : 1,
 "Speed" : 9,
 "Weapons" : [],
 "Languages" : ["COMMON", "QUORIAN"],
 "Resistances" : [],
 "SaveAdvantages" : [],
"ACBonus": 0,
"Skills" : []
  },
"FERAL": {
 "Id" : "FERAL",
 "Name" : "Féral",
 "OV" : "Feral",
 "Strength" : 0,
 "Constitution" : 0,
 "Dexterity" : 1,
 "Intelligence" : 0,
 "Wisdom" : 0,
 "Charisma" : 0,
 "Speed" : 9,
 "Weapons" : [],
 "Languages" : ["COMMON"],
 "Resistances" : [],
 "SaveAdvantages" : [],
"ACBonus": 0,
"Skills" : ["Perception"]
  },
"WARFORGED": {
 "Id" : "WARFORGED",
 "Name" : "Forgelier",
 "OV" : "Warforged",
 "Strength" : 0,
 "Constitution" : 2,
 "Dexterity" : 0,
 "Intelligence" : 0,
 "Wisdom" : 0,
 "Charisma" : 0,
 "Speed" : 9,
 "Weapons" : [],
 "Languages" : ["COMMON"],
 "Resistances" : ["POISON"],
 "SaveAdvantages" : ["POISON"],
"ACBonus": 1,
"Skills" : []
  },
"LOXODON": {
 "Id" : "LOXODON",
 "Name" : "Loxodon",
 "OV" : "Loxodon",
 "Strength" : 0,
 "Constitution" : 2,
 "Dexterity" : 0,
 "Intelligence" : 0,
 "Wisdom" : 1,
 "Charisma" : 0,
 "Speed" : 9,
 "Weapons" : [],
 "Languages" : ["COMMON"],
 "Resistances" : [],
 "SaveAdvantages" : ["FEAR"],
"ACBonus": 3,
 "ACBonusArmor" : false,
"Skills" : []
  },
"SIMIC": {
 "Id" : "SIMIC",
 "Name" : "Simic",
 "OV" : "Simic",
 "Strength" : 0,
 "Constitution" : 2,
 "Dexterity" : 0,
 "Intelligence" : 0,
 "Wisdom" : 0,
 "Charisma" : 0,
 "Speed" : 9,
 "Weapons" : [],
 "Languages" : ["COMMON", "ELVISH"],
 "Resistances" : [],
 "SaveAdvantages" : [],
"ACBonus": 0,
"Skills" : []
  },
"VEDALKEN": {
 "Id" : "VEDALKEN",
 "Name" : "Vedalken",
 "OV" : "Vedalken",
 "Strength" : 0,
 "Constitution" : 0,
 "Dexterity" : 0,
 "Intelligence" : 2,
 "Wisdom" : 1,
 "Charisma" : 0,
 "Speed" : 9,
 "Weapons" : [],
 "Languages" : ["COMMON"],
 "Resistances" : [],
 "SaveAdvantages" : ["INT", "SAG", "CHA"],
"ACBonus": 0,
"Skills" : []
  },
"VIASHINO": {
 "Id" : "VIASHINO",
 "Name" : "Viashino",
 "OV" : "Viashino",
 "Strength" : 1,
 "Constitution" : 0,
 "Dexterity" : 2,
 "Intelligence" : 0,
 "Wisdom" : 0,
 "Charisma" : 0,
 "Speed" : 9,
 "Weapons" : [],
 "Languages" : ["COMMON", "DRACONIC"],
 "Resistances" : [],
 "SaveAdvantages" : [],
"ACBonus": 0,
"Skills" : []
  },
"LEONID": {
 "Id" : "LEONID",
 "Name" : "Léonide",
 "OV" : "Leonid",
 "Strength" : 0,
 "Constitution" : 0,
 "Dexterity" : 0,
 "Intelligence" : 0,
 "Wisdom" : 0,
 "Charisma" : 1,
 "Speed" : 9,
 "Weapons" : [],
 "Languages" : ["COMMON"],
 "Resistances" : [],
 "SaveAdvantages" : [],
"ACBonus": 0,
"Skills" : ["Sens Aiguisés"]
  },
"CHANGELING": {
 "Id" : "CHANGELING",
 "Name" : "Changelin",
 "OV" : "Changeling",
 "Strength" : 0,
 "Constitution" : 0,
 "Dexterity" : 0,
 "Intelligence" : 0,
 "Wisdom" : 0,
 "Charisma" : 2,
 "Speed" : 9,
 "Weapons" : [],
 "Languages" : ["COMMON"],
 "Resistances" : [],
 "SaveAdvantages" : [],
"ACBonus": 0,
"Skills" : []
  }</v>
      </c>
      <c r="C24" t="str">
        <f t="shared" si="0"/>
        <v>"Races" : {
 "ELF": {
 "Id" : "ELF",
 "Name" : "Elfe",
 "OV" : "Elf",
 "Strength" : 0,
 "Constitution" : 0,
 "Dexterity" : 2,
 "Intelligence" : 0,
 "Wisdom" : 0,
 "Charisma" : 0,
 "Speed" : 9,
 "Weapons" : [],
 "Languages" : ["ELVISH"],
 "Resistances" : [],
 "SaveAdvantages" : ["CHARM"],
"ACBonus": 0,
"Skills" : []
  },
"HALFELIN": {
 "Id" : "HALFELIN",
 "Name" : "Halfelin",
 "OV" : "Halfelin",
 "Strength" : 0,
 "Constitution" : 0,
 "Dexterity" : 2,
 "Intelligence" : 0,
 "Wisdom" : 0,
 "Charisma" : 0,
 "Speed" : 7.5,
 "Weapons" : [],
 "Languages" : ["COMMON", "HALFELIN"],
 "Resistances" : [],
 "SaveAdvantages" : ["FEAR"],
"ACBonus": 0,
"Skills" : []
  },
"HUMAN": {
 "Id" : "HUMAN",
 "Name" : "Humain",
 "OV" : "Human",
 "Strength" : 1,
 "Constitution" : 1,
 "Dexterity" : 1,
 "Intelligence" : 1,
 "Wisdom" : 1,
 "Charisma" : 1,
 "Speed" : 9,
 "Weapons" : [],
 "Languages" : ["COMMON"],
 "Resistances" : [],
 "SaveAdvantages" : [],
"ACBonus": 0,
"Skills" : []
  },
"DWARF": {
 "Id" : "DWARF",
 "Name" : "Nain",
 "OV" : "Dwarf",
 "Strength" : 0,
 "Constitution" : 2,
 "Dexterity" : 0,
 "Intelligence" : 0,
 "Wisdom" : 0,
 "Charisma" : 0,
 "Speed" : 7.5,
 "Weapons" : ["Hachette", "Hache d'armes", "Marteau léger", "Marteau de guerre"],
 "Languages" : ["DWARF"],
 "Resistances" : ["POISON"],
 "SaveAdvantages" : ["POISON"],
"ACBonus": 0,
"Skills" : []
  },
"HALF_ELF": {
 "Id" : "HALF_ELF",
 "Name" : "Demi-Elfe",
 "OV" : "Half-Elf",
 "Strength" : 0,
 "Constitution" : 0,
 "Dexterity" : 0,
 "Intelligence" : 0,
 "Wisdom" : 0,
 "Charisma" : 2,
 "Speed" : 9,
 "Weapons" : [],
 "Languages" : ["COMMON", "ELVISH"],
 "Resistances" : [],
 "SaveAdvantages" : [],
"ACBonus": 0,
"Skills" : []
  },
"HALF_ORC": {
 "Id" : "HALF_ORC",
 "Name" : "Demi-Orque",
 "OV" : "Half-Orc",
 "Strength" : 2,
 "Constitution" : 1,
 "Dexterity" : 0,
 "Intelligence" : 0,
 "Wisdom" : 0,
 "Charisma" : 0,
 "Speed" : 9,
 "Weapons" : [],
 "Languages" : ["COMMON", "ORC"],
 "Resistances" : [],
 "SaveAdvantages" : [],
"ACBonus": 0,
"Skills" : []
  },
"DRAGON_BORN": {
 "Id" : "DRAGON_BORN",
 "Name" : "Drakéide",
 "OV" : "Dragon Born",
 "Strength" : 2,
 "Constitution" : 0,
 "Dexterity" : 0,
 "Intelligence" : 0,
 "Wisdom" : 0,
 "Charisma" : 1,
 "Speed" : 9,
 "Weapons" : [],
 "Languages" : ["COMMON", "DRACONIC"],
 "Resistances" : [],
 "SaveAdvantages" : [],
"ACBonus": 0,
"Skills" : []
  },
"GNOME": {
 "Id" : "GNOME",
 "Name" : "Gnome",
 "OV" : "Gnome",
 "Strength" : 0,
 "Constitution" : 0,
 "Dexterity" : 0,
 "Intelligence" : 2,
 "Wisdom" : 0,
 "Charisma" : 0,
 "Speed" : 7.5,
 "Weapons" : [],
 "Languages" : ["COMMON", "GNOME"],
 "Resistances" : [],
 "SaveAdvantages" : ["INT", "SAG", "CHA"],
"ACBonus": 0,
"Skills" : []
  },
"TIEFFLING": {
 "Id" : "TIEFFLING",
 "Name" : "Tieffelin",
 "OV" : "Tieffling",
 "Strength" : 0,
 "Constitution" : 0,
 "Dexterity" : 0,
 "Intelligence" : 0,
 "Wisdom" : 0,
 "Charisma" : 0,
 "Speed" : 9,
 "Weapons" : [],
 "Languages" : ["COMMON", "INFERNAL"],
 "Resistances" : [],
 "SaveAdvantages" : [],
"ACBonus": 0,
"Skills" : []
  },
"AARAKOCRA": {
 "Id" : "AARAKOCRA",
 "Name" : "Aarakocra *",
 "OV" : "Aarakocra",
 "Strength" : 0,
 "Constitution" : 0,
 "Dexterity" : 2,
 "Intelligence" : 0,
 "Wisdom" : 1,
 "Charisma" : 0,
 "Speed" : 7.5,
 "Weapons" : [],
 "Languages" : ["COMMON", "AARAKOCRA", "AIR"],
 "Resistances" : [],
 "SaveAdvantages" : [],
"ACBonus": 0,
"Skills" : []
  },
"GENASI": {
 "Id" : "GENASI",
 "Name" : "Génasi *",
 "OV" : "Genasi",
 "Strength" : 0,
 "Constitution" : 2,
 "Dexterity" : 0,
 "Intelligence" : 0,
 "Wisdom" : 0,
 "Charisma" : 0,
 "Speed" : 9,
 "Weapons" : [],
 "Languages" : ["COMMON", "PRIMARY"],
 "Resistances" : [],
 "SaveAdvantages" : [],
"ACBonus": 0,
"Skills" : []
  },
"GOLIATH": {
 "Id" : "GOLIATH",
 "Name" : "Goliath *",
 "OV" : "Goliath",
 "Strength" : 2,
 "Constitution" : 1,
 "Dexterity" : 0,
 "Intelligence" : 0,
 "Wisdom" : 0,
 "Charisma" : 0,
 "Speed" : 9,
 "Weapons" : [],
 "Languages" : ["COMMON", "GIANT"],
 "Resistances" : [],
 "SaveAdvantages" : [],
"ACBonus": 0,
"Skills" : []
  },
"KALASHTAR": {
 "Id" : "KALASHTAR",
 "Name" : "Kalashtar",
 "OV" : "Kalashtar",
 "Strength" : 0,
 "Constitution" : 0,
 "Dexterity" : 0,
 "Intelligence" : 0,
 "Wisdom" : 1,
 "Charisma" : 1,
 "Speed" : 9,
 "Weapons" : [],
 "Languages" : ["COMMON", "QUORIAN"],
 "Resistances" : [],
 "SaveAdvantages" : [],
"ACBonus": 0,
"Skills" : []
  },
"FERAL": {
 "Id" : "FERAL",
 "Name" : "Féral",
 "OV" : "Feral",
 "Strength" : 0,
 "Constitution" : 0,
 "Dexterity" : 1,
 "Intelligence" : 0,
 "Wisdom" : 0,
 "Charisma" : 0,
 "Speed" : 9,
 "Weapons" : [],
 "Languages" : ["COMMON"],
 "Resistances" : [],
 "SaveAdvantages" : [],
"ACBonus": 0,
"Skills" : ["Perception"]
  },
"WARFORGED": {
 "Id" : "WARFORGED",
 "Name" : "Forgelier",
 "OV" : "Warforged",
 "Strength" : 0,
 "Constitution" : 2,
 "Dexterity" : 0,
 "Intelligence" : 0,
 "Wisdom" : 0,
 "Charisma" : 0,
 "Speed" : 9,
 "Weapons" : [],
 "Languages" : ["COMMON"],
 "Resistances" : ["POISON"],
 "SaveAdvantages" : ["POISON"],
"ACBonus": 1,
"Skills" : []
  },
"LOXODON": {
 "Id" : "LOXODON",
 "Name" : "Loxodon",
 "OV" : "Loxodon",
 "Strength" : 0,
 "Constitution" : 2,
 "Dexterity" : 0,
 "Intelligence" : 0,
 "Wisdom" : 1,
 "Charisma" : 0,
 "Speed" : 9,
 "Weapons" : [],
 "Languages" : ["COMMON"],
 "Resistances" : [],
 "SaveAdvantages" : ["FEAR"],
"ACBonus": 3,
 "ACBonusArmor" : false,
"Skills" : []
  },
"SIMIC": {
 "Id" : "SIMIC",
 "Name" : "Simic",
 "OV" : "Simic",
 "Strength" : 0,
 "Constitution" : 2,
 "Dexterity" : 0,
 "Intelligence" : 0,
 "Wisdom" : 0,
 "Charisma" : 0,
 "Speed" : 9,
 "Weapons" : [],
 "Languages" : ["COMMON", "ELVISH"],
 "Resistances" : [],
 "SaveAdvantages" : [],
"ACBonus": 0,
"Skills" : []
  },
"VEDALKEN": {
 "Id" : "VEDALKEN",
 "Name" : "Vedalken",
 "OV" : "Vedalken",
 "Strength" : 0,
 "Constitution" : 0,
 "Dexterity" : 0,
 "Intelligence" : 2,
 "Wisdom" : 1,
 "Charisma" : 0,
 "Speed" : 9,
 "Weapons" : [],
 "Languages" : ["COMMON"],
 "Resistances" : [],
 "SaveAdvantages" : ["INT", "SAG", "CHA"],
"ACBonus": 0,
"Skills" : []
  },
"VIASHINO": {
 "Id" : "VIASHINO",
 "Name" : "Viashino",
 "OV" : "Viashino",
 "Strength" : 1,
 "Constitution" : 0,
 "Dexterity" : 2,
 "Intelligence" : 0,
 "Wisdom" : 0,
 "Charisma" : 0,
 "Speed" : 9,
 "Weapons" : [],
 "Languages" : ["COMMON", "DRACONIC"],
 "Resistances" : [],
 "SaveAdvantages" : [],
"ACBonus": 0,
"Skills" : []
  },
"LEONID": {
 "Id" : "LEONID",
 "Name" : "Léonide",
 "OV" : "Leonid",
 "Strength" : 0,
 "Constitution" : 0,
 "Dexterity" : 0,
 "Intelligence" : 0,
 "Wisdom" : 0,
 "Charisma" : 1,
 "Speed" : 9,
 "Weapons" : [],
 "Languages" : ["COMMON"],
 "Resistances" : [],
 "SaveAdvantages" : [],
"ACBonus": 0,
"Skills" : ["Sens Aiguisés"]
  },
"CHANGELING": {
 "Id" : "CHANGELING",
 "Name" : "Changelin",
 "OV" : "Changeling",
 "Strength" : 0,
 "Constitution" : 0,
 "Dexterity" : 0,
 "Intelligence" : 0,
 "Wisdom" : 0,
 "Charisma" : 2,
 "Speed" : 9,
 "Weapons" : [],
 "Languages" : ["COMMON"],
 "Resistances" : [],
 "SaveAdvantages" : [],
"ACBonus": 0,
"Skills" : []
  }
 }</v>
      </c>
    </row>
    <row r="25" spans="1:3" ht="15" customHeight="1">
      <c r="A25" t="s">
        <v>1045</v>
      </c>
      <c r="B25" s="153" t="s">
        <v>1065</v>
      </c>
      <c r="C25" t="str">
        <f t="shared" si="0"/>
        <v>"ServiceCategories" : {
 "HIRING": {"Code": "HIRING", "Name": "Embauche"},
   "TRANSPORT": {"Code": "TRANSPORT", "Name": "Transport"}
 }</v>
      </c>
    </row>
    <row r="26" spans="1:3" ht="15" customHeight="1">
      <c r="A26" t="s">
        <v>1054</v>
      </c>
      <c r="B26"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6"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7" spans="1:3" ht="15" customHeight="1">
      <c r="A27" t="s">
        <v>1051</v>
      </c>
      <c r="B27"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7"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8" spans="1:3" ht="15" customHeight="1">
      <c r="A28" t="s">
        <v>1058</v>
      </c>
      <c r="B28" s="153" t="s">
        <v>5803</v>
      </c>
      <c r="C28"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"Sens Aiguisés":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9" spans="1:3" ht="15" customHeight="1">
      <c r="A29" t="s">
        <v>3260</v>
      </c>
      <c r="B29" s="153" t="str">
        <f>CONCATENATE('Specialisation-capacities'!B56,'Specialisation-capacities'!B57)</f>
        <v>"ALCHEMIST-1":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"AVATAR_ORDER-1": {"Capacities": []},
"AWAKENED_ORDER-1": {"Capacities": []},
"IMMORTALS_ORDER-1": {"Capacities": []},
"NOMAD_ORDER-1": {"Capacities": []},
"SHARP_SOUL_ORDER-1": {"Capacities": []},
"WU_JEN_ORDER-1": {"Capacities": []},
"HUNTER-1": {"Capacities": []},
"BEAST_MASTER-1": {"Capacities": []},
"ASSASSIN-1": {"Capacities": []},
"ROBBER-1": {"Capacities": []},
"ARCANE_SWINDLER-1": {"Capacities": []},
"CONSPIRATOR-1": {"Capacities": []},
"ARCHFAIRY-1": {"Capacities": ["Présence féerique"]},
"FIENDISH-1": {"Capacities": ["Bénédiction du ténébreux"]},
"GREAT_OLD-1": {"Capacities": ["Esprit éveillé"]},
"ALCHEMIST-2":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"AVATAR_ORDER-2": {"Capacities": []},
"AWAKENED_ORDER-2": {"Capacities": []},
"IMMORTALS_ORDER-2": {"Capacities": []},
"NOMAD_ORDER-2": {"Capacities": []},
"SHARP_SOUL_ORDER-2": {"Capacities": []},
"WU_JEN_ORDER-2": {"Capacities": []},
"HUNTER-2": {"Capacities": []},
"BEAST_MASTER-2": {"Capacities": []},
"ASSASSIN-2": {"Capacities": []},
"ROBBER-2": {"Capacities": []},
"ARCANE_SWINDLER-2": {"Capacities": []},
"CONSPIRATOR-2": {"Capacities": []},
"ARCHFAIRY-2": {"Capacities": []},
"FIENDISH-2": {"Capacities": []},
"GREAT_OLD-2": {"Capacities": []},
"ALCHEMIST-3":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"AVATAR_ORDER-3": {"Capacities": []},
"AWAKENED_ORDER-3": {"Capacities": []},
"IMMORTALS_ORDER-3": {"Capacities": []},
"NOMAD_ORDER-3": {"Capacities": []},
"SHARP_SOUL_ORDER-3": {"Capacities": []},
"WU_JEN_ORDER-3": {"Capacities": []},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
"ALCHEMIST-4":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"AVATAR_ORDER-4": {"Capacities": []},
"AWAKENED_ORDER-4": {"Capacities": []},
"IMMORTALS_ORDER-4": {"Capacities": []},
"NOMAD_ORDER-4": {"Capacities": []},
"SHARP_SOUL_ORDER-4": {"Capacities": []},
"WU_JEN_ORDER-4": {"Capacities": []},
"HUNTER-4": {"Capacities": []},
"BEAST_MASTER-4": {"Capacities": []},
"ASSASSIN-4": {"Capacities": []},
"ROBBER-4": {"Capacities": []},
"ARCANE_SWINDLER-4": {"Capacities": []},
"CONSPIRATOR-4": {"Capacities": []},
"ARCHFAIRY-4": {"Capacities": []},
"FIENDISH-4": {"Capacities": []},
"GREAT_OLD-4": {"Capacities": []},
"ALCHEMIST-5":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"AVATAR_ORDER-5": {"Capacities": []},
"AWAKENED_ORDER-5": {"Capacities": []},
"IMMORTALS_ORDER-5": {"Capacities": []},
"NOMAD_ORDER-5": {"Capacities": []},
"SHARP_SOUL_ORDER-5": {"Capacities": []},
"WU_JEN_ORDER-5": {"Capacities": []},
"HUNTER-5": {"Capacities": []},
"BEAST_MASTER-5": {"Capacities": []},
"ASSASSIN-5": {"Capacities": []},
"ROBBER-5": {"Capacities": []},
"ARCANE_SWINDLER-5": {"Capacities": []},
"CONSPIRATOR-5": {"Capacities": []},
"ARCHFAIRY-5": {"Capacities": []},
"FIENDISH-5": {"Capacities": []},
"GREAT_OLD-5": {"Capacities": []},
"ALCHEMIST-6":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"AVATAR_ORDER-6": {"Capacities": []},
"AWAKENED_ORDER-6": {"Capacities": []},
"IMMORTALS_ORDER-6": {"Capacities": []},
"NOMAD_ORDER-6": {"Capacities": []},
"SHARP_SOUL_ORDER-6": {"Capacities": []},
"WU_JEN_ORDER-6":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
"ALCHEMIST-7":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"AVATAR_ORDER-7": {"Capacities": []},
"AWAKENED_ORDER-7": {"Capacities": []},
"IMMORTALS_ORDER-7": {"Capacities": []},
"NOMAD_ORDER-7": {"Capacities": []},
"SHARP_SOUL_ORDER-7": {"Capacities": []},
"WU_JEN_ORDER-7": {"Capacities": []},
"HUNTER-7": {"Capacities": ["Tactiques défensives"]},
"BEAST_MASTER-7": {"Capacities": ["Entraînement exceptionnel"]},
"ASSASSIN-7": {"Capacities": []},
"ROBBER-7": {"Capacities": []},
"ARCANE_SWINDLER-7": {"Capacities": []},
"CONSPIRATOR-7": {"Capacities": []},
"ARCHFAIRY-7": {"Capacities": []},
"FIENDISH-7": {"Capacities": []},
"GREAT_OLD-7": {"Capacities": []},
"ALCHEMIST-8":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"AVATAR_ORDER-8": {"Capacities": []},
"AWAKENED_ORDER-8": {"Capacities": []},
"IMMORTALS_ORDER-8": {"Capacities": []},
"NOMAD_ORDER-8": {"Capacities": []},
"SHARP_SOUL_ORDER-8": {"Capacities": []},
"WU_JEN_ORDER-8": {"Capacities": []},
"HUNTER-8": {"Capacities": []},
"BEAST_MASTER-8": {"Capacities": []},
"ASSASSIN-8": {"Capacities": []},
"ROBBER-8": {"Capacities": []},
"ARCANE_SWINDLER-8": {"Capacities": []},
"CONSPIRATOR-8": {"Capacities": []},
"ARCHFAIRY-8": {"Capacities": []},
"FIENDISH-8": {"Capacities": []},
"GREAT_OLD-8": {"Capacities": []},
"ALCHEMIST-9":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"AVATAR_ORDER-9": {"Capacities": []},
"AWAKENED_ORDER-9": {"Capacities": []},
"IMMORTALS_ORDER-9": {"Capacities": []},
"NOMAD_ORDER-9": {"Capacities": []},
"SHARP_SOUL_ORDER-9": {"Capacities": []},
"WU_JEN_ORDER-9":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
"ALCHEMIST-10":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"AVATAR_ORDER-10": {"Capacities": []},
"AWAKENED_ORDER-10": {"Capacities": []},
"IMMORTALS_ORDER-10": {"Capacities": []},
"NOMAD_ORDER-10": {"Capacities": []},
"SHARP_SOUL_ORDER-10": {"Capacities": []},
"WU_JEN_ORDER-10":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v>
      </c>
      <c r="C29" t="str">
        <f t="shared" si="0"/>
        <v>"SpecialisationCapacities" : {
 "ALCHEMIST-1":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"AVATAR_ORDER-1": {"Capacities": []},
"AWAKENED_ORDER-1": {"Capacities": []},
"IMMORTALS_ORDER-1": {"Capacities": []},
"NOMAD_ORDER-1": {"Capacities": []},
"SHARP_SOUL_ORDER-1": {"Capacities": []},
"WU_JEN_ORDER-1": {"Capacities": []},
"HUNTER-1": {"Capacities": []},
"BEAST_MASTER-1": {"Capacities": []},
"ASSASSIN-1": {"Capacities": []},
"ROBBER-1": {"Capacities": []},
"ARCANE_SWINDLER-1": {"Capacities": []},
"CONSPIRATOR-1": {"Capacities": []},
"ARCHFAIRY-1": {"Capacities": ["Présence féerique"]},
"FIENDISH-1": {"Capacities": ["Bénédiction du ténébreux"]},
"GREAT_OLD-1": {"Capacities": ["Esprit éveillé"]},
"ALCHEMIST-2":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"AVATAR_ORDER-2": {"Capacities": []},
"AWAKENED_ORDER-2": {"Capacities": []},
"IMMORTALS_ORDER-2": {"Capacities": []},
"NOMAD_ORDER-2": {"Capacities": []},
"SHARP_SOUL_ORDER-2": {"Capacities": []},
"WU_JEN_ORDER-2": {"Capacities": []},
"HUNTER-2": {"Capacities": []},
"BEAST_MASTER-2": {"Capacities": []},
"ASSASSIN-2": {"Capacities": []},
"ROBBER-2": {"Capacities": []},
"ARCANE_SWINDLER-2": {"Capacities": []},
"CONSPIRATOR-2": {"Capacities": []},
"ARCHFAIRY-2": {"Capacities": []},
"FIENDISH-2": {"Capacities": []},
"GREAT_OLD-2": {"Capacities": []},
"ALCHEMIST-3":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"AVATAR_ORDER-3": {"Capacities": []},
"AWAKENED_ORDER-3": {"Capacities": []},
"IMMORTALS_ORDER-3": {"Capacities": []},
"NOMAD_ORDER-3": {"Capacities": []},
"SHARP_SOUL_ORDER-3": {"Capacities": []},
"WU_JEN_ORDER-3": {"Capacities": []},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
"ALCHEMIST-4":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"AVATAR_ORDER-4": {"Capacities": []},
"AWAKENED_ORDER-4": {"Capacities": []},
"IMMORTALS_ORDER-4": {"Capacities": []},
"NOMAD_ORDER-4": {"Capacities": []},
"SHARP_SOUL_ORDER-4": {"Capacities": []},
"WU_JEN_ORDER-4": {"Capacities": []},
"HUNTER-4": {"Capacities": []},
"BEAST_MASTER-4": {"Capacities": []},
"ASSASSIN-4": {"Capacities": []},
"ROBBER-4": {"Capacities": []},
"ARCANE_SWINDLER-4": {"Capacities": []},
"CONSPIRATOR-4": {"Capacities": []},
"ARCHFAIRY-4": {"Capacities": []},
"FIENDISH-4": {"Capacities": []},
"GREAT_OLD-4": {"Capacities": []},
"ALCHEMIST-5":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"AVATAR_ORDER-5": {"Capacities": []},
"AWAKENED_ORDER-5": {"Capacities": []},
"IMMORTALS_ORDER-5": {"Capacities": []},
"NOMAD_ORDER-5": {"Capacities": []},
"SHARP_SOUL_ORDER-5": {"Capacities": []},
"WU_JEN_ORDER-5": {"Capacities": []},
"HUNTER-5": {"Capacities": []},
"BEAST_MASTER-5": {"Capacities": []},
"ASSASSIN-5": {"Capacities": []},
"ROBBER-5": {"Capacities": []},
"ARCANE_SWINDLER-5": {"Capacities": []},
"CONSPIRATOR-5": {"Capacities": []},
"ARCHFAIRY-5": {"Capacities": []},
"FIENDISH-5": {"Capacities": []},
"GREAT_OLD-5": {"Capacities": []},
"ALCHEMIST-6":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"AVATAR_ORDER-6": {"Capacities": []},
"AWAKENED_ORDER-6": {"Capacities": []},
"IMMORTALS_ORDER-6": {"Capacities": []},
"NOMAD_ORDER-6": {"Capacities": []},
"SHARP_SOUL_ORDER-6": {"Capacities": []},
"WU_JEN_ORDER-6":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
"ALCHEMIST-7":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"AVATAR_ORDER-7": {"Capacities": []},
"AWAKENED_ORDER-7": {"Capacities": []},
"IMMORTALS_ORDER-7": {"Capacities": []},
"NOMAD_ORDER-7": {"Capacities": []},
"SHARP_SOUL_ORDER-7": {"Capacities": []},
"WU_JEN_ORDER-7": {"Capacities": []},
"HUNTER-7": {"Capacities": ["Tactiques défensives"]},
"BEAST_MASTER-7": {"Capacities": ["Entraînement exceptionnel"]},
"ASSASSIN-7": {"Capacities": []},
"ROBBER-7": {"Capacities": []},
"ARCANE_SWINDLER-7": {"Capacities": []},
"CONSPIRATOR-7": {"Capacities": []},
"ARCHFAIRY-7": {"Capacities": []},
"FIENDISH-7": {"Capacities": []},
"GREAT_OLD-7": {"Capacities": []},
"ALCHEMIST-8":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"AVATAR_ORDER-8": {"Capacities": []},
"AWAKENED_ORDER-8": {"Capacities": []},
"IMMORTALS_ORDER-8": {"Capacities": []},
"NOMAD_ORDER-8": {"Capacities": []},
"SHARP_SOUL_ORDER-8": {"Capacities": []},
"WU_JEN_ORDER-8": {"Capacities": []},
"HUNTER-8": {"Capacities": []},
"BEAST_MASTER-8": {"Capacities": []},
"ASSASSIN-8": {"Capacities": []},
"ROBBER-8": {"Capacities": []},
"ARCANE_SWINDLER-8": {"Capacities": []},
"CONSPIRATOR-8": {"Capacities": []},
"ARCHFAIRY-8": {"Capacities": []},
"FIENDISH-8": {"Capacities": []},
"GREAT_OLD-8": {"Capacities": []},
"ALCHEMIST-9":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"AVATAR_ORDER-9": {"Capacities": []},
"AWAKENED_ORDER-9": {"Capacities": []},
"IMMORTALS_ORDER-9": {"Capacities": []},
"NOMAD_ORDER-9": {"Capacities": []},
"SHARP_SOUL_ORDER-9": {"Capacities": []},
"WU_JEN_ORDER-9":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
"ALCHEMIST-10":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"AVATAR_ORDER-10": {"Capacities": []},
"AWAKENED_ORDER-10": {"Capacities": []},
"IMMORTALS_ORDER-10": {"Capacities": []},
"NOMAD_ORDER-10": {"Capacities": []},
"SHARP_SOUL_ORDER-10": {"Capacities": []},
"WU_JEN_ORDER-10":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
 }</v>
      </c>
    </row>
    <row r="30" spans="1:3" ht="15" customHeight="1">
      <c r="A30" t="s">
        <v>2919</v>
      </c>
      <c r="B30" s="153" t="str">
        <f>Classes!I72</f>
        <v>,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
"ROBBER":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
"ARCANE_SWINDLER":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
"CONSPIRATOR":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
"ARCHFAIRY":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
"FIENDISH":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
"GREAT_OLD":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v>
      </c>
      <c r="C30" t="str">
        <f t="shared" si="0"/>
        <v>"Specialisations" : {
 ,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
"ROBBER":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
"ARCANE_SWINDLER":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
"CONSPIRATOR":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
"ARCHFAIRY":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
"FIENDISH":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
"GREAT_OLD":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
 }</v>
      </c>
    </row>
    <row r="31" spans="1:3" ht="15" customHeight="1">
      <c r="A31" t="s">
        <v>2805</v>
      </c>
      <c r="B31" s="153" t="str">
        <f>Sorts!L470</f>
        <v xml:space="preserve">"Amis":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c r="C31" t="str">
        <f t="shared" si="0"/>
        <v>"Spells" : {
 "Amis":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v>
      </c>
    </row>
    <row r="32" spans="1:3" ht="15" customHeight="1">
      <c r="A32" t="s">
        <v>5651</v>
      </c>
      <c r="B32" s="153" t="str">
        <f>'Compléments de sort'!I43</f>
        <v>"TIEFFLING_0-1": {
  "Race" : "",
  "SubRace" : "TIEFFLING_0",
  "Specialisation" : "",
  "Level" : 1,
  "Spells" : ["Thaumaturgie"],
  "BonusLocation" : 0,
  "BonusLocationClasses" : []
   },
"TIEFFLING_0-3": {
  "Race" : "",
  "SubRace" : "TIEFFLING_0",
  "Specialisation" : "",
  "Level" : 3,
  "Spells" : ["Représailles infernales"],
  "BonusLocation" : 0,
  "BonusLocationClasses" : []
   },
"TIEFFLING_0-5": {
  "Race" : "",
  "SubRace" : "TIEFFLING_0",
  "Specialisation" : "",
  "Level" : 5,
  "Spells" : ["Ténèbres"],
  "BonusLocation" : 0,
  "BonusLocationClasses" : []
   },
"TIEFFLING_ASMODEUS-1": {
  "Race" : "",
  "SubRace" : "TIEFFLING_ASMODEUS",
  "Specialisation" : "",
  "Level" : 1,
  "Spells" : ["Thaumaturgie"],
  "BonusLocation" : 0,
  "BonusLocationClasses" : []
   },
"TIEFFLING_ASMODEUS-3": {
  "Race" : "",
  "SubRace" : "TIEFFLING_ASMODEUS",
  "Specialisation" : "",
  "Level" : 3,
  "Spells" : ["Représailles infernales"],
  "BonusLocation" : 0,
  "BonusLocationClasses" : []
   },
"TIEFFLING_ASMODEUS-5": {
  "Race" : "",
  "SubRace" : "TIEFFLING_ASMODEUS",
  "Specialisation" : "",
  "Level" : 5,
  "Spells" : ["Ténèbres"],
  "BonusLocation" : 0,
  "BonusLocationClasses" : []
   },
"TIEFFLING_BEELZEBUB-1": {
  "Race" : "",
  "SubRace" : "TIEFFLING_BEELZEBUB",
  "Specialisation" : "",
  "Level" : 1,
  "Spells" : ["Thaumaturgie"],
  "BonusLocation" : 0,
  "BonusLocationClasses" : []
   },
"TIEFFLING_BEELZEBUB-3": {
  "Race" : "",
  "SubRace" : "TIEFFLING_BEELZEBUB",
  "Specialisation" : "",
  "Level" : 3,
  "Spells" : ["Rayon empoisonné"],
  "BonusLocation" : 0,
  "BonusLocationClasses" : []
   },
"TIEFFLING_BEELZEBUB-5": {
  "Race" : "",
  "SubRace" : "TIEFFLING_BEELZEBUB",
  "Specialisation" : "",
  "Level" : 5,
  "Spells" : ["Couronne du dément"],
  "BonusLocation" : 0,
  "BonusLocationClasses" : []
   },
"TIEFFLING_DISPAT-1": {
  "Race" : "",
  "SubRace" : "TIEFFLING_DISPAT",
  "Specialisation" : "",
  "Level" : 1,
  "Spells" : ["Thaumaturgie"],
  "BonusLocation" : 0,
  "BonusLocationClasses" : []
   },
"TIEFFLING_DISPAT-3": {
  "Race" : "",
  "SubRace" : "TIEFFLING_DISPAT",
  "Specialisation" : "",
  "Level" : 3,
  "Spells" : ["Déguisement"],
  "BonusLocation" : 0,
  "BonusLocationClasses" : []
   },
"TIEFFLING_DISPAT-5": {
  "Race" : "",
  "SubRace" : "TIEFFLING_DISPAT",
  "Specialisation" : "",
  "Level" : 5,
  "Spells" : ["Invisibilité"],
  "BonusLocation" : 0,
  "BonusLocationClasses" : []
   },
"TIEFFLING_FIERNA-1": {
  "Race" : "",
  "SubRace" : "TIEFFLING_FIERNA",
  "Specialisation" : "",
  "Level" : 1,
  "Spells" : ["Amis"],
  "BonusLocation" : 0,
  "BonusLocationClasses" : []
   },
"TIEFFLING_FIERNA-3": {
  "Race" : "",
  "SubRace" : "TIEFFLING_FIERNA",
  "Specialisation" : "",
  "Level" : 3,
  "Spells" : ["Charme-personne"],
  "BonusLocation" : 0,
  "BonusLocationClasses" : []
   },
"TIEFFLING_FIERNA-5": {
  "Race" : "",
  "SubRace" : "TIEFFLING_FIERNA",
  "Specialisation" : "",
  "Level" : 5,
  "Spells" : ["Suggestion"],
  "BonusLocation" : 0,
  "BonusLocationClasses" : []
   },
"TIEFFLING_GLASYA-1": {
  "Race" : "",
  "SubRace" : "TIEFFLING_GLASYA",
  "Specialisation" : "",
  "Level" : 1,
  "Spells" : ["Illusion mineure"],
  "BonusLocation" : 0,
  "BonusLocationClasses" : []
   },
"TIEFFLING_GLASYA-3": {
  "Race" : "",
  "SubRace" : "TIEFFLING_GLASYA",
  "Specialisation" : "",
  "Level" : 3,
  "Spells" : ["Déguisement"],
  "BonusLocation" : 0,
  "BonusLocationClasses" : []
   },
"TIEFFLING_GLASYA-5": {
  "Race" : "",
  "SubRace" : "TIEFFLING_GLASYA",
  "Specialisation" : "",
  "Level" : 5,
  "Spells" : ["Invisibilité"],
  "BonusLocation" : 0,
  "BonusLocationClasses" : []
   },
"TIEFFLING_LEVISTUS-1": {
  "Race" : "",
  "SubRace" : "TIEFFLING_LEVISTUS",
  "Specialisation" : "",
  "Level" : 1,
  "Spells" : ["Rayon de froid"],
  "BonusLocation" : 0,
  "BonusLocationClasses" : []
   },
"TIEFFLING_LEVISTUS-3": {
  "Race" : "",
  "SubRace" : "TIEFFLING_LEVISTUS",
  "Specialisation" : "",
  "Level" : 3,
  "Spells" : ["Armure d‘Agathys"],
  "BonusLocation" : 0,
  "BonusLocationClasses" : []
   },
"TIEFFLING_LEVISTUS-5": {
  "Race" : "",
  "SubRace" : "TIEFFLING_LEVISTUS",
  "Specialisation" : "",
  "Level" : 5,
  "Spells" : ["Ténèbres"],
  "BonusLocation" : 0,
  "BonusLocationClasses" : []
   },
"TIEFFLING_MAMMON-1": {
  "Race" : "",
  "SubRace" : "TIEFFLING_MAMMON",
  "Specialisation" : "",
  "Level" : 1,
  "Spells" : ["Main de mage"],
  "BonusLocation" : 0,
  "BonusLocationClasses" : []
   },
"TIEFFLING_MAMMON-3": {
  "Race" : "",
  "SubRace" : "TIEFFLING_MAMMON",
  "Specialisation" : "",
  "Level" : 3,
  "Spells" : ["Disque flottant de Tenser"],
  "BonusLocation" : 0,
  "BonusLocationClasses" : []
   },
"TIEFFLING_MAMMON-5": {
  "Race" : "",
  "SubRace" : "TIEFFLING_MAMMON",
  "Specialisation" : "",
  "Level" : 5,
  "Spells" : ["Verrou magique"],
  "BonusLocation" : 0,
  "BonusLocationClasses" : []
   },
"TIEFFLING_MEPHISTOPHELES-1": {
  "Race" : "",
  "SubRace" : "TIEFFLING_MEPHISTOPHELES",
  "Specialisation" : "",
  "Level" : 1,
  "Spells" : ["Main de mage"],
  "BonusLocation" : 0,
  "BonusLocationClasses" : []
   },
"TIEFFLING_MEPHISTOPHELES-3": {
  "Race" : "",
  "SubRace" : "TIEFFLING_MEPHISTOPHELES",
  "Specialisation" : "",
  "Level" : 3,
  "Spells" : ["Missile magique"],
  "BonusLocation" : 0,
  "BonusLocationClasses" : []
   },
"TIEFFLING_MEPHISTOPHELES-5": {
  "Race" : "",
  "SubRace" : "TIEFFLING_MEPHISTOPHELES",
  "Specialisation" : "",
  "Level" : 5,
  "Spells" : ["Toile d'araignée"],
  "BonusLocation" : 0,
  "BonusLocationClasses" : []
   },
"TIEFFLING_ZARIEL-1": {
  "Race" : "",
  "SubRace" : "TIEFFLING_ZARIEL",
  "Specialisation" : "",
  "Level" : 1,
  "Spells" : ["Thaumaturgie"],
  "BonusLocation" : 0,
  "BonusLocationClasses" : []
   },
"TIEFFLING_ZARIEL-3": {
  "Race" : "",
  "SubRace" : "TIEFFLING_ZARIEL",
  "Specialisation" : "",
  "Level" : 3,
  "Spells" : ["Châtiment ardent"],
  "BonusLocation" : 0,
  "BonusLocationClasses" : []
   },
"TIEFFLING_ZARIEL-5": {
  "Race" : "",
  "SubRace" : "TIEFFLING_ZARIEL",
  "Specialisation" : "",
  "Level" : 5,
  "Spells" : ["Châtiment lumineux"],
  "BonusLocation" : 0,
  "BonusLocationClasses" : []
   },
"FORESTS_GNOME-1": {
  "Race" : "",
  "SubRace" : "FORESTS_GNOME",
  "Specialisation" : "",
  "Level" : 1,
  "Spells" : ["Illusion mineure"],
  "BonusLocation" : 0,
  "BonusLocationClasses" : []
   },
"ILLUSION-1": {
  "Race" : "",
  "SubRace" : "",
  "Specialisation" : "ILLUSION",
  "Level" : 1,
  "Spells" : ["Illusion mineure"],
  "BonusLocation" : 0,
  "BonusLocationClasses" : []
   },
"LIGHT_FIELD-1": {
  "Race" : "",
  "SubRace" : "",
  "Specialisation" : "LIGHT_FIELD",
  "Level" : 1,
  "Spells" : ["Lumière"],
  "BonusLocation" : 0,
  "BonusLocationClasses" : []
   },
"SHADOW_WAY-1": {
  "Race" : "",
  "SubRace" : "",
  "Specialisation" : "SHADOW_WAY",
  "Level" : 1,
  "Spells" : ["Illusion mineure"],
  "BonusLocation" : 0,
  "BonusLocationClasses" : []
   },
"EARTH_GROUP-1": {
  "Race" : "",
  "SubRace" : "",
  "Specialisation" : "EARTH_GROUP",
  "Level" : 1,
  "Spells" : [],
  "BonusLocation" : 2,
  "BonusLocationClasses" : ["DRUID"]
   },
"HIGH_ELF-1": {
  "Race" : "",
  "SubRace" : "HIGH_ELF",
  "Specialisation" : "",
  "Level" : 1,
  "Spells" : [],
  "BonusLocation" : 1,
  "BonusLocationClasses" : ["MAGICIAN"]
   },
"KNOWLEDGE_SCHOOL-6": {
  "Race" : "",
  "SubRace" : "",
  "Specialisation" : "KNOWLEDGE_SCHOOL",
  "Level" : 6,
  "Spells" : [],
  "BonusLocation" : 2,
  "BonusLocationClasses" : ["BARD", "CLERK", "DRUID", "SORCERER", "WARRIOR", "MAGICIAN", "PALADIN", "PROWLER", "WILY", "WIZARD"]
   },
"NATURE_FIELD-1": {
  "Race" : "",
  "SubRace" : "",
  "Specialisation" : "NATURE_FIELD",
  "Level" : 1,
  "Spells" : [],
  "BonusLocation" : 1,
  "BonusLocationClasses" : ["DRUID"]
   },
"GRUGACH-1": {
  "Race" : "",
  "SubRace" : "GRUGACH",
  "Specialisation" : "",
  "Level" : 1,
  "Spells" : [],
  "BonusLocation" : 1,
  "BonusLocationClasses" : ["DRUID"]
   },
"WU_JEN_ORDER-6": {
  "Race" : "",
  "SubRace" : "",
  "Specialisation" : "WU_JEN_ORDER",
  "Level" : 6,
  "Spells" : [],
  "BonusLocation" : 3,
  "BonusLocationClasses" : ["MAGICIAN"]
   }</v>
      </c>
      <c r="C32" t="str">
        <f t="shared" si="0"/>
        <v>"SpellsComplements" : {
 "TIEFFLING_0-1": {
  "Race" : "",
  "SubRace" : "TIEFFLING_0",
  "Specialisation" : "",
  "Level" : 1,
  "Spells" : ["Thaumaturgie"],
  "BonusLocation" : 0,
  "BonusLocationClasses" : []
   },
"TIEFFLING_0-3": {
  "Race" : "",
  "SubRace" : "TIEFFLING_0",
  "Specialisation" : "",
  "Level" : 3,
  "Spells" : ["Représailles infernales"],
  "BonusLocation" : 0,
  "BonusLocationClasses" : []
   },
"TIEFFLING_0-5": {
  "Race" : "",
  "SubRace" : "TIEFFLING_0",
  "Specialisation" : "",
  "Level" : 5,
  "Spells" : ["Ténèbres"],
  "BonusLocation" : 0,
  "BonusLocationClasses" : []
   },
"TIEFFLING_ASMODEUS-1": {
  "Race" : "",
  "SubRace" : "TIEFFLING_ASMODEUS",
  "Specialisation" : "",
  "Level" : 1,
  "Spells" : ["Thaumaturgie"],
  "BonusLocation" : 0,
  "BonusLocationClasses" : []
   },
"TIEFFLING_ASMODEUS-3": {
  "Race" : "",
  "SubRace" : "TIEFFLING_ASMODEUS",
  "Specialisation" : "",
  "Level" : 3,
  "Spells" : ["Représailles infernales"],
  "BonusLocation" : 0,
  "BonusLocationClasses" : []
   },
"TIEFFLING_ASMODEUS-5": {
  "Race" : "",
  "SubRace" : "TIEFFLING_ASMODEUS",
  "Specialisation" : "",
  "Level" : 5,
  "Spells" : ["Ténèbres"],
  "BonusLocation" : 0,
  "BonusLocationClasses" : []
   },
"TIEFFLING_BEELZEBUB-1": {
  "Race" : "",
  "SubRace" : "TIEFFLING_BEELZEBUB",
  "Specialisation" : "",
  "Level" : 1,
  "Spells" : ["Thaumaturgie"],
  "BonusLocation" : 0,
  "BonusLocationClasses" : []
   },
"TIEFFLING_BEELZEBUB-3": {
  "Race" : "",
  "SubRace" : "TIEFFLING_BEELZEBUB",
  "Specialisation" : "",
  "Level" : 3,
  "Spells" : ["Rayon empoisonné"],
  "BonusLocation" : 0,
  "BonusLocationClasses" : []
   },
"TIEFFLING_BEELZEBUB-5": {
  "Race" : "",
  "SubRace" : "TIEFFLING_BEELZEBUB",
  "Specialisation" : "",
  "Level" : 5,
  "Spells" : ["Couronne du dément"],
  "BonusLocation" : 0,
  "BonusLocationClasses" : []
   },
"TIEFFLING_DISPAT-1": {
  "Race" : "",
  "SubRace" : "TIEFFLING_DISPAT",
  "Specialisation" : "",
  "Level" : 1,
  "Spells" : ["Thaumaturgie"],
  "BonusLocation" : 0,
  "BonusLocationClasses" : []
   },
"TIEFFLING_DISPAT-3": {
  "Race" : "",
  "SubRace" : "TIEFFLING_DISPAT",
  "Specialisation" : "",
  "Level" : 3,
  "Spells" : ["Déguisement"],
  "BonusLocation" : 0,
  "BonusLocationClasses" : []
   },
"TIEFFLING_DISPAT-5": {
  "Race" : "",
  "SubRace" : "TIEFFLING_DISPAT",
  "Specialisation" : "",
  "Level" : 5,
  "Spells" : ["Invisibilité"],
  "BonusLocation" : 0,
  "BonusLocationClasses" : []
   },
"TIEFFLING_FIERNA-1": {
  "Race" : "",
  "SubRace" : "TIEFFLING_FIERNA",
  "Specialisation" : "",
  "Level" : 1,
  "Spells" : ["Amis"],
  "BonusLocation" : 0,
  "BonusLocationClasses" : []
   },
"TIEFFLING_FIERNA-3": {
  "Race" : "",
  "SubRace" : "TIEFFLING_FIERNA",
  "Specialisation" : "",
  "Level" : 3,
  "Spells" : ["Charme-personne"],
  "BonusLocation" : 0,
  "BonusLocationClasses" : []
   },
"TIEFFLING_FIERNA-5": {
  "Race" : "",
  "SubRace" : "TIEFFLING_FIERNA",
  "Specialisation" : "",
  "Level" : 5,
  "Spells" : ["Suggestion"],
  "BonusLocation" : 0,
  "BonusLocationClasses" : []
   },
"TIEFFLING_GLASYA-1": {
  "Race" : "",
  "SubRace" : "TIEFFLING_GLASYA",
  "Specialisation" : "",
  "Level" : 1,
  "Spells" : ["Illusion mineure"],
  "BonusLocation" : 0,
  "BonusLocationClasses" : []
   },
"TIEFFLING_GLASYA-3": {
  "Race" : "",
  "SubRace" : "TIEFFLING_GLASYA",
  "Specialisation" : "",
  "Level" : 3,
  "Spells" : ["Déguisement"],
  "BonusLocation" : 0,
  "BonusLocationClasses" : []
   },
"TIEFFLING_GLASYA-5": {
  "Race" : "",
  "SubRace" : "TIEFFLING_GLASYA",
  "Specialisation" : "",
  "Level" : 5,
  "Spells" : ["Invisibilité"],
  "BonusLocation" : 0,
  "BonusLocationClasses" : []
   },
"TIEFFLING_LEVISTUS-1": {
  "Race" : "",
  "SubRace" : "TIEFFLING_LEVISTUS",
  "Specialisation" : "",
  "Level" : 1,
  "Spells" : ["Rayon de froid"],
  "BonusLocation" : 0,
  "BonusLocationClasses" : []
   },
"TIEFFLING_LEVISTUS-3": {
  "Race" : "",
  "SubRace" : "TIEFFLING_LEVISTUS",
  "Specialisation" : "",
  "Level" : 3,
  "Spells" : ["Armure d‘Agathys"],
  "BonusLocation" : 0,
  "BonusLocationClasses" : []
   },
"TIEFFLING_LEVISTUS-5": {
  "Race" : "",
  "SubRace" : "TIEFFLING_LEVISTUS",
  "Specialisation" : "",
  "Level" : 5,
  "Spells" : ["Ténèbres"],
  "BonusLocation" : 0,
  "BonusLocationClasses" : []
   },
"TIEFFLING_MAMMON-1": {
  "Race" : "",
  "SubRace" : "TIEFFLING_MAMMON",
  "Specialisation" : "",
  "Level" : 1,
  "Spells" : ["Main de mage"],
  "BonusLocation" : 0,
  "BonusLocationClasses" : []
   },
"TIEFFLING_MAMMON-3": {
  "Race" : "",
  "SubRace" : "TIEFFLING_MAMMON",
  "Specialisation" : "",
  "Level" : 3,
  "Spells" : ["Disque flottant de Tenser"],
  "BonusLocation" : 0,
  "BonusLocationClasses" : []
   },
"TIEFFLING_MAMMON-5": {
  "Race" : "",
  "SubRace" : "TIEFFLING_MAMMON",
  "Specialisation" : "",
  "Level" : 5,
  "Spells" : ["Verrou magique"],
  "BonusLocation" : 0,
  "BonusLocationClasses" : []
   },
"TIEFFLING_MEPHISTOPHELES-1": {
  "Race" : "",
  "SubRace" : "TIEFFLING_MEPHISTOPHELES",
  "Specialisation" : "",
  "Level" : 1,
  "Spells" : ["Main de mage"],
  "BonusLocation" : 0,
  "BonusLocationClasses" : []
   },
"TIEFFLING_MEPHISTOPHELES-3": {
  "Race" : "",
  "SubRace" : "TIEFFLING_MEPHISTOPHELES",
  "Specialisation" : "",
  "Level" : 3,
  "Spells" : ["Missile magique"],
  "BonusLocation" : 0,
  "BonusLocationClasses" : []
   },
"TIEFFLING_MEPHISTOPHELES-5": {
  "Race" : "",
  "SubRace" : "TIEFFLING_MEPHISTOPHELES",
  "Specialisation" : "",
  "Level" : 5,
  "Spells" : ["Toile d'araignée"],
  "BonusLocation" : 0,
  "BonusLocationClasses" : []
   },
"TIEFFLING_ZARIEL-1": {
  "Race" : "",
  "SubRace" : "TIEFFLING_ZARIEL",
  "Specialisation" : "",
  "Level" : 1,
  "Spells" : ["Thaumaturgie"],
  "BonusLocation" : 0,
  "BonusLocationClasses" : []
   },
"TIEFFLING_ZARIEL-3": {
  "Race" : "",
  "SubRace" : "TIEFFLING_ZARIEL",
  "Specialisation" : "",
  "Level" : 3,
  "Spells" : ["Châtiment ardent"],
  "BonusLocation" : 0,
  "BonusLocationClasses" : []
   },
"TIEFFLING_ZARIEL-5": {
  "Race" : "",
  "SubRace" : "TIEFFLING_ZARIEL",
  "Specialisation" : "",
  "Level" : 5,
  "Spells" : ["Châtiment lumineux"],
  "BonusLocation" : 0,
  "BonusLocationClasses" : []
   },
"FORESTS_GNOME-1": {
  "Race" : "",
  "SubRace" : "FORESTS_GNOME",
  "Specialisation" : "",
  "Level" : 1,
  "Spells" : ["Illusion mineure"],
  "BonusLocation" : 0,
  "BonusLocationClasses" : []
   },
"ILLUSION-1": {
  "Race" : "",
  "SubRace" : "",
  "Specialisation" : "ILLUSION",
  "Level" : 1,
  "Spells" : ["Illusion mineure"],
  "BonusLocation" : 0,
  "BonusLocationClasses" : []
   },
"LIGHT_FIELD-1": {
  "Race" : "",
  "SubRace" : "",
  "Specialisation" : "LIGHT_FIELD",
  "Level" : 1,
  "Spells" : ["Lumière"],
  "BonusLocation" : 0,
  "BonusLocationClasses" : []
   },
"SHADOW_WAY-1": {
  "Race" : "",
  "SubRace" : "",
  "Specialisation" : "SHADOW_WAY",
  "Level" : 1,
  "Spells" : ["Illusion mineure"],
  "BonusLocation" : 0,
  "BonusLocationClasses" : []
   },
"EARTH_GROUP-1": {
  "Race" : "",
  "SubRace" : "",
  "Specialisation" : "EARTH_GROUP",
  "Level" : 1,
  "Spells" : [],
  "BonusLocation" : 2,
  "BonusLocationClasses" : ["DRUID"]
   },
"HIGH_ELF-1": {
  "Race" : "",
  "SubRace" : "HIGH_ELF",
  "Specialisation" : "",
  "Level" : 1,
  "Spells" : [],
  "BonusLocation" : 1,
  "BonusLocationClasses" : ["MAGICIAN"]
   },
"KNOWLEDGE_SCHOOL-6": {
  "Race" : "",
  "SubRace" : "",
  "Specialisation" : "KNOWLEDGE_SCHOOL",
  "Level" : 6,
  "Spells" : [],
  "BonusLocation" : 2,
  "BonusLocationClasses" : ["BARD", "CLERK", "DRUID", "SORCERER", "WARRIOR", "MAGICIAN", "PALADIN", "PROWLER", "WILY", "WIZARD"]
   },
"NATURE_FIELD-1": {
  "Race" : "",
  "SubRace" : "",
  "Specialisation" : "NATURE_FIELD",
  "Level" : 1,
  "Spells" : [],
  "BonusLocation" : 1,
  "BonusLocationClasses" : ["DRUID"]
   },
"GRUGACH-1": {
  "Race" : "",
  "SubRace" : "GRUGACH",
  "Specialisation" : "",
  "Level" : 1,
  "Spells" : [],
  "BonusLocation" : 1,
  "BonusLocationClasses" : ["DRUID"]
   },
"WU_JEN_ORDER-6": {
  "Race" : "",
  "SubRace" : "",
  "Specialisation" : "WU_JEN_ORDER",
  "Level" : 6,
  "Spells" : [],
  "BonusLocation" : 3,
  "BonusLocationClasses" : ["MAGICIAN"]
   }
 }</v>
      </c>
    </row>
    <row r="33" spans="1:3" ht="15" customHeight="1">
      <c r="A33" t="s">
        <v>1038</v>
      </c>
      <c r="B33" t="str">
        <f>'Sous-races'!S61</f>
        <v>"HIGH_ELF":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
"WOODEN_ELF":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
"DROW": {
 "Id" : "DROW",
 "Race" : "ELF",
 "Name" : "Elfe noir",
 "OV" : "Drow",
 "Strength" : 0,
 "Constitution" : 0,
 "Dexterity" : 0,
 "Intelligence" : 0,
 "Wisdom" : 0,
 "Charisma" : 0,
 "Speed" : 0,
 "Languages" : ["COMMON"],
 "Resistances" : [],
"Skills" : [], "SaveAdvantages" : [],
"Weapons" : ["Rapière", "Épée courte", "Arbalète de poing"], "ArmorCategories" : []
  },
"AVARIEL": {
 "Id" : "AVARIEL",
 "Race" : "ELF",
 "Name" : "Avariel",
 "OV" : "Avariel",
 "Strength" : 0,
 "Constitution" : 0,
 "Dexterity" : 0,
 "Intelligence" : 0,
 "Wisdom" : 0,
 "Charisma" : 0,
 "Speed" : 0,
 "Languages" : ["COMMON", "AIR"],
 "Resistances" : [],
"Skills" : [], "SaveAdvantages" : [],
"Weapons" : [], "ArmorCategories" : []
  },
"GRUGACH": {
 "Id" : "GRUGACH",
 "Race" : "ELF",
 "Name" : "Grugach",
 "OV" : "Grugach",
 "Strength" : 1,
 "Constitution" : 0,
 "Dexterity" : 0,
 "Intelligence" : 0,
 "Wisdom" : 0,
 "Charisma" : 0,
 "Speed" : 0,
 "Languages" : ["SILVAN"],
 "Resistances" : [],
"Skills" : [], "SaveAdvantages" : [],
"Weapons" : ["Lance", "Arc court", "Arc long", "Filet"], "ArmorCategories" : []
  },
"AQUATIC_ELF":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
"SHADAR_KAI": {
 "Id" : "SHADAR_KAI",
 "Race" : "ELF",
 "Name" : "Shadar-kai",
 "OV" : "Shadar-kai",
 "Strength" : 0,
 "Constitution" : 0,
 "Dexterity" : 0,
 "Intelligence" : 0,
 "Wisdom" : 0,
 "Charisma" : 1,
 "Speed" : 0,
 "Languages" : ["COMMON"],
 "Resistances" : [],
"Skills" : [], "SaveAdvantages" : [],
"Weapons" : [], "ArmorCategories" : []
  },
"LIGHT_FOOT_HALFELIN": {
 "Id" : "LIGHT_FOOT_HALFELIN",
 "Race" : "HALFELIN",
 "Name" : "Halfelin pied-léger",
 "OV" : "Light-foot Halfelin",
 "Strength" : 0,
 "Constitution" : 0,
 "Dexterity" : 0,
 "Intelligence" : 0,
 "Wisdom" : 0,
 "Charisma" : 1,
 "Speed" : 0,
 "Languages" : [],
 "Resistances" : [],
"Skills" : [], "SaveAdvantages" : [],
"Weapons" : [], "ArmorCategories" : []
  },
"ROBUST_HALFELIN": {
 "Id" : "ROBUST_HALFELIN",
 "Race" : "HALFELIN",
 "Name" : "Halfelin Robuste",
 "OV" : "Robust Halfelin",
 "Strength" : 0,
 "Constitution" : 1,
 "Dexterity" : 0,
 "Intelligence" : 0,
 "Wisdom" : 0,
 "Charisma" : 0,
 "Speed" : 0,
 "Languages" : [],
 "Resistances" : ["POISON"],
"Skills" : [], "SaveAdvantages" : ["POISON"],
"Weapons" : [], "ArmorCategories" : []
  },
"HILLS_DWARF": {
 "Id" : "HILLS_DWARF",
 "Race" : "DWARF",
 "Name" : "Nain des collines",
 "OV" : "Hills Dwarf",
 "Strength" : 0,
 "Constitution" : 0,
 "Dexterity" : 0,
 "Intelligence" : 0,
 "Wisdom" : 1,
 "Charisma" : 0,
 "Speed" : 0,
 "Languages" : [],
 "Resistances" : [],
"Skills" : [], "SaveAdvantages" : [],
"Weapons" : [], "ArmorCategories" : []
  },
"MONTAINS_DWARF": {
 "Id" : "MONTAINS_DWARF",
 "Race" : "DWARF",
 "Name" : "Nain des montagnes",
 "OV" : "Mountains Dwarf",
 "Strength" : 2,
 "Constitution" : 0,
 "Dexterity" : 0,
 "Intelligence" : 0,
 "Wisdom" : 0,
 "Charisma" : 0,
 "Speed" : 0,
 "Languages" : [],
 "Resistances" : [],
"Skills" : [], "SaveAdvantages" : [],
"Weapons" : [], "ArmorCategories" : ["1_LIGHT", "2_MID"]
  },
"FORESTS_GNOME": {
 "Id" : "FORESTS_GNOME",
 "Race" : "GNOME",
 "Name" : "Gnome des forêts",
 "OV" : "Forests Gnome",
 "Strength" : 0,
 "Constitution" : 0,
 "Dexterity" : 1,
 "Intelligence" : 0,
 "Wisdom" : 0,
 "Charisma" : 0,
 "Speed" : 0,
 "Languages" : [],
 "Resistances" : [],
"Skills" : [], "SaveAdvantages" : [],
"Weapons" : [], "ArmorCategories" : []
  },
"ROCKS_GNOME": {
 "Id" : "ROCKS_GNOME",
 "Race" : "GNOME",
 "Name" : "Gnome des roches",
 "OV" : "Rocks Gnome",
 "Strength" : 1,
 "Constitution" : 0,
 "Dexterity" : 0,
 "Intelligence" : 0,
 "Wisdom" : 0,
 "Charisma" : 0,
 "Speed" : 0,
 "Languages" : [],
 "Resistances" : [],
"Skills" : [], "SaveAdvantages" : [],
"Weapons" : [], "ArmorCategories" : []
  },
"DEPTH_GNOME": {
 "Id" : "DEPTH_GNOME",
 "Race" : "GNOME",
 "Name" : "Gnome des profondeurs *",
 "OV" : "Depth Gnome",
 "Strength" : 0,
 "Constitution" : 0,
 "Dexterity" : 1,
 "Intelligence" : 0,
 "Wisdom" : 0,
 "Charisma" : 0,
 "Speed" : 0,
 "Languages" : ["DEPTH_COMMON"],
 "Resistances" : [],
"Skills" : [], "SaveAdvantages" : [],
"Weapons" : [], "ArmorCategories" : []
  },
"AIR_GENASI": {
 "Id" : "AIR_GENASI",
 "Race" : "GENASI",
 "Name" : "Génasi de l'air",
 "OV" : "Air Genasi",
 "Strength" : 0,
 "Constitution" : 0,
 "Dexterity" : 1,
 "Intelligence" : 0,
 "Wisdom" : 0,
 "Charisma" : 0,
 "Speed" : 0,
 "Languages" : [],
 "Resistances" : [],
"Skills" : [], "SaveAdvantages" : [],
"Weapons" : [], "ArmorCategories" : []
  },
"EARTH_GENASI": {
 "Id" : "EARTH_GENASI",
 "Race" : "GENASI",
 "Name" : "Génasi de la terre",
 "OV" : "Earth Genasi",
 "Strength" : 1,
 "Constitution" : 0,
 "Dexterity" : 0,
 "Intelligence" : 0,
 "Wisdom" : 0,
 "Charisma" : 0,
 "Speed" : 0,
 "Languages" : [],
 "Resistances" : [],
"Skills" : [], "SaveAdvantages" : [],
"Weapons" : [], "ArmorCategories" : []
  },
"FIRE_GENASI": {
 "Id" : "FIRE_GENASI",
 "Race" : "GENASI",
 "Name" : "Génasi du feu",
 "OV" : "Fire Genasi",
 "Strength" : 0,
 "Constitution" : 0,
 "Dexterity" : 0,
 "Intelligence" : 1,
 "Wisdom" : 0,
 "Charisma" : 0,
 "Speed" : 0,
 "Languages" : [],
 "Resistances" : ["FIRE"],
"Skills" : [], "SaveAdvantages" : [],
"Weapons" : [], "ArmorCategories" : []
  },
"WATER_GENASI": {
 "Id" : "WATER_GENASI",
 "Race" : "GENASI",
 "Name" : "Génasi de l'eau",
 "OV" : "Water Genasi",
 "Strength" : 0,
 "Constitution" : 0,
 "Dexterity" : 0,
 "Intelligence" : 0,
 "Wisdom" : 1,
 "Charisma" : 0,
 "Speed" : 0,
 "Languages" : [],
 "Resistances" : ["ACID"],
"Skills" : [], "SaveAdvantages" : [],
"Weapons" : [], "ArmorCategories" : []
  },
"HUMAN": {
 "Id" : "HUMAN",
 "Race" : "HUMAN",
 "Name" : "Humain",
 "OV" : "Human",
 "Strength" : 0,
 "Constitution" : 0,
 "Dexterity" : 0,
 "Intelligence" : 0,
 "Wisdom" : 0,
 "Charisma" : 0,
 "Speed" : 0,
 "Languages" : [],
 "Resistances" : [],
"Skills" : [], "SaveAdvantages" : [],
"Weapons" : [], "ArmorCategories" : []
  },
"HALF_ELF": {
 "Id" : "HALF_ELF",
 "Race" : "HALF_ELF",
 "Name" : "Demi-Elfe",
 "OV" : "Half-Elf",
 "Strength" : 0,
 "Constitution" : 0,
 "Dexterity" : 0,
 "Intelligence" : 0,
 "Wisdom" : 0,
 "Charisma" : 0,
 "Speed" : 0,
 "Languages" : [],
 "Resistances" : [],
"Skills" : [], "SaveAdvantages" : [],
"Weapons" : [], "ArmorCategories" : []
  },
"HALF_ORC": {
 "Id" : "HALF_ORC",
 "Race" : "HALF_ORC",
 "Name" : "Demi-Orque",
 "OV" : "Half-Orc",
 "Strength" : 0,
 "Constitution" : 0,
 "Dexterity" : 0,
 "Intelligence" : 0,
 "Wisdom" : 0,
 "Charisma" : 0,
 "Speed" : 0,
 "Languages" : [],
 "Resistances" : [],
"Skills" : [], "SaveAdvantages" : [],
"Weapons" : [], "ArmorCategories" : []
  },
"WHITE_DRAGON":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
"BLUE_DRAGON":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
"BLACK_DRAGON":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
"RED_DRAGON":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
"GREEN_DRAGON":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
"BRASS_DRAGON":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
"SILVER_DRAGON":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
"BRONZE_DRAGON":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
"COPPER_DRAGON":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
"GOLD_DRAGON":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
"TIEFFLING_0": {
 "Id" : "TIEFFLING_0",
 "Race" : "TIEFFLING",
 "Name" : "Tieffelin",
 "OV" : "Tieffling",
 "Strength" : 0,
 "Constitution" : 0,
 "Dexterity" : 0,
 "Intelligence" : 1,
 "Wisdom" : 0,
 "Charisma" : 2,
 "Speed" : 0,
 "Languages" : [],
 "Resistances" : ["FIRE"],
"Skills" : [], "SaveAdvantages" : [],
"Weapons" : [], "ArmorCategories" : []
  },
"TIEFFLING_ASMODEUS":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
"TIEFFLING_BEELZEBUB":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
"TIEFFLING_DISPAT":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
"TIEFFLING_FIERNA":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
"TIEFFLING_GLASYA":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
"TIEFFLING_LEVISTUS":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
"TIEFFLING_MAMMON":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
"TIEFFLING_MEPHISTOPHELES":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
"TIEFFLING_ZARIEL":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
"FERAL_ANIMAL_SKIN":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
"FERAL_LONG_TEETH":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
"FERAL_LONG_STRIDE":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
"FERAL_WILD_HUNT": {
 "Id" : "FERAL_WILD_HUNT",
 "Race" : "FERAL",
 "Name" : "Féral - Traque sauvage",
 "OV" : "Feral - Wild hunt",
 "Strength" : 0,
 "Constitution" : 0,
 "Dexterity" : 0,
 "Intelligence" : 0,
 "Wisdom" : 2,
 "Charisma" : 0,
 "Speed" : 0,
 "Languages" : [],
 "Resistances" : [],
"Skills" : ["Survie"], "SaveAdvantages" : [],
"Weapons" : [], "ArmorCategories" : []
  },
"LEONID_HARD_SKIN": {
 "Id" : "LEONID_HARD_SKIN",
 "Race" : "LEONID",
 "Name" : "Léonide - Peau dur",
 "OV" : "Leonid - Hard skin",
 "Strength" : 0,
 "Constitution" : 2,
 "Dexterity" : 0,
 "Intelligence" : 0,
 "Wisdom" : 0,
 "Charisma" : 0,
 "Speed" : 0,
 "Languages" : [],
 "Resistances" : [],
"Skills" : ["Athlétisme"], "SaveAdvantages" : [],
"Weapons" : [], "ArmorCategories" : []
  },
"LEONID_FANGED_FANGS":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
"LEONID_FELINE_STRIDE":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
"LEONID_HUNTER_PREDATOR":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
"KALASHTAR": {
 "Id" : "KALASHTAR",
 "Race" : "KALASHTAR",
 "Name" : "Kalashtar",
 "OV" : "Kalashtar",
 "Strength" : 0,
 "Constitution" : 0,
 "Dexterity" : 0,
 "Intelligence" : 0,
 "Wisdom" : 0,
 "Charisma" : 0,
 "Speed" : 0,
 "Languages" : [],
 "Resistances" : [],
"Skills" : [], "SaveAdvantages" : [],
"Weapons" : [], "ArmorCategories" : []
  },
"WARFORGED": {
 "Id" : "WARFORGED",
 "Race" : "WARFORGED",
 "Name" : "Forgelier",
 "OV" : "Warforged",
 "Strength" : 0,
 "Constitution" : 0,
 "Dexterity" : 0,
 "Intelligence" : 0,
 "Wisdom" : 0,
 "Charisma" : 0,
 "Speed" : 0,
 "Languages" : [],
 "Resistances" : [],
"Skills" : [], "SaveAdvantages" : [],
"Weapons" : [], "ArmorCategories" : []
  },
"LOXODON": {
 "Id" : "LOXODON",
 "Race" : "LOXODON",
 "Name" : "Loxodon",
 "OV" : "Loxodon",
 "Strength" : 0,
 "Constitution" : 0,
 "Dexterity" : 0,
 "Intelligence" : 0,
 "Wisdom" : 0,
 "Charisma" : 0,
 "Speed" : 0,
 "Languages" : [],
 "Resistances" : [],
"Skills" : [], "SaveAdvantages" : [],
"Weapons" : [], "ArmorCategories" : []
  },
"SIMIC": {
 "Id" : "SIMIC",
 "Race" : "SIMIC",
 "Name" : "Simic",
 "OV" : "Simic",
 "Strength" : 0,
 "Constitution" : 0,
 "Dexterity" : 0,
 "Intelligence" : 0,
 "Wisdom" : 0,
 "Charisma" : 0,
 "Speed" : 0,
 "Languages" : [],
 "Resistances" : [],
"Skills" : [], "SaveAdvantages" : [],
"Weapons" : [], "ArmorCategories" : []
  },
"VEDALKEN": {
 "Id" : "VEDALKEN",
 "Race" : "VEDALKEN",
 "Name" : "Veldaken",
 "OV" : "Veldaken",
 "Strength" : 0,
 "Constitution" : 0,
 "Dexterity" : 0,
 "Intelligence" : 0,
 "Wisdom" : 0,
 "Charisma" : 0,
 "Speed" : 0,
 "Languages" : [],
 "Resistances" : [],
"Skills" : [], "SaveAdvantages" : [],
"Weapons" : [], "ArmorCategories" : []
  },
"VIASHINO": {
 "Id" : "VIASHINO",
 "Race" : "VIASHINO",
 "Name" : "Viashino",
 "OV" : "Viashino",
 "Strength" : 0,
 "Constitution" : 0,
 "Dexterity" : 0,
 "Intelligence" : 0,
 "Wisdom" : 0,
 "Charisma" : 0,
 "Speed" : 0,
 "Languages" : [],
 "Resistances" : [],
"Skills" : [], "SaveAdvantages" : [],
"Weapons" : [], "ArmorCategories" : []
  },
"CHANGELING": {
 "Id" : "CHANGELING",
 "Race" : "CHANGELING",
 "Name" : "Changelin",
 "OV" : "Changeling",
 "Strength" : 0,
 "Constitution" : 0,
 "Dexterity" : 0,
 "Intelligence" : 0,
 "Wisdom" : 0,
 "Charisma" : 0,
 "Speed" : 0,
 "Languages" : [],
 "Resistances" : [],
"Skills" : [], "SaveAdvantages" : [],
"Weapons" : [], "ArmorCategories" : []
  },
"AARAKOCRA": {
 "Id" : "AARAKOCRA",
 "Race" : "AARAKOCRA",
 "Name" : "Aarakocra *",
 "OV" : "Aarakocra",
 "Strength" : 0,
 "Constitution" : 0,
 "Dexterity" : 0,
 "Intelligence" : 0,
 "Wisdom" : 0,
 "Charisma" : 0,
 "Speed" : 0,
 "Languages" : [],
 "Resistances" : [],
"Skills" : [], "SaveAdvantages" : [],
"Weapons" : [], "ArmorCategories" : []
  },
"GOLIATH": {
 "Id" : "GOLIATH",
 "Race" : "GOLIATH",
 "Name" : "Goliath *",
 "OV" : "Goliath",
 "Strength" : 0,
 "Constitution" : 0,
 "Dexterity" : 0,
 "Intelligence" : 0,
 "Wisdom" : 0,
 "Charisma" : 0,
 "Speed" : 0,
 "Languages" : [],
 "Resistances" : [],
"Skills" : [], "SaveAdvantages" : [],
"Weapons" : [], "ArmorCategories" : []
  }</v>
      </c>
      <c r="C33" t="str">
        <f t="shared" si="0"/>
        <v>"SubRaces" : {
 "HIGH_ELF":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
"WOODEN_ELF":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
"DROW": {
 "Id" : "DROW",
 "Race" : "ELF",
 "Name" : "Elfe noir",
 "OV" : "Drow",
 "Strength" : 0,
 "Constitution" : 0,
 "Dexterity" : 0,
 "Intelligence" : 0,
 "Wisdom" : 0,
 "Charisma" : 0,
 "Speed" : 0,
 "Languages" : ["COMMON"],
 "Resistances" : [],
"Skills" : [], "SaveAdvantages" : [],
"Weapons" : ["Rapière", "Épée courte", "Arbalète de poing"], "ArmorCategories" : []
  },
"AVARIEL": {
 "Id" : "AVARIEL",
 "Race" : "ELF",
 "Name" : "Avariel",
 "OV" : "Avariel",
 "Strength" : 0,
 "Constitution" : 0,
 "Dexterity" : 0,
 "Intelligence" : 0,
 "Wisdom" : 0,
 "Charisma" : 0,
 "Speed" : 0,
 "Languages" : ["COMMON", "AIR"],
 "Resistances" : [],
"Skills" : [], "SaveAdvantages" : [],
"Weapons" : [], "ArmorCategories" : []
  },
"GRUGACH": {
 "Id" : "GRUGACH",
 "Race" : "ELF",
 "Name" : "Grugach",
 "OV" : "Grugach",
 "Strength" : 1,
 "Constitution" : 0,
 "Dexterity" : 0,
 "Intelligence" : 0,
 "Wisdom" : 0,
 "Charisma" : 0,
 "Speed" : 0,
 "Languages" : ["SILVAN"],
 "Resistances" : [],
"Skills" : [], "SaveAdvantages" : [],
"Weapons" : ["Lance", "Arc court", "Arc long", "Filet"], "ArmorCategories" : []
  },
"AQUATIC_ELF":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
"SHADAR_KAI": {
 "Id" : "SHADAR_KAI",
 "Race" : "ELF",
 "Name" : "Shadar-kai",
 "OV" : "Shadar-kai",
 "Strength" : 0,
 "Constitution" : 0,
 "Dexterity" : 0,
 "Intelligence" : 0,
 "Wisdom" : 0,
 "Charisma" : 1,
 "Speed" : 0,
 "Languages" : ["COMMON"],
 "Resistances" : [],
"Skills" : [], "SaveAdvantages" : [],
"Weapons" : [], "ArmorCategories" : []
  },
"LIGHT_FOOT_HALFELIN": {
 "Id" : "LIGHT_FOOT_HALFELIN",
 "Race" : "HALFELIN",
 "Name" : "Halfelin pied-léger",
 "OV" : "Light-foot Halfelin",
 "Strength" : 0,
 "Constitution" : 0,
 "Dexterity" : 0,
 "Intelligence" : 0,
 "Wisdom" : 0,
 "Charisma" : 1,
 "Speed" : 0,
 "Languages" : [],
 "Resistances" : [],
"Skills" : [], "SaveAdvantages" : [],
"Weapons" : [], "ArmorCategories" : []
  },
"ROBUST_HALFELIN": {
 "Id" : "ROBUST_HALFELIN",
 "Race" : "HALFELIN",
 "Name" : "Halfelin Robuste",
 "OV" : "Robust Halfelin",
 "Strength" : 0,
 "Constitution" : 1,
 "Dexterity" : 0,
 "Intelligence" : 0,
 "Wisdom" : 0,
 "Charisma" : 0,
 "Speed" : 0,
 "Languages" : [],
 "Resistances" : ["POISON"],
"Skills" : [], "SaveAdvantages" : ["POISON"],
"Weapons" : [], "ArmorCategories" : []
  },
"HILLS_DWARF": {
 "Id" : "HILLS_DWARF",
 "Race" : "DWARF",
 "Name" : "Nain des collines",
 "OV" : "Hills Dwarf",
 "Strength" : 0,
 "Constitution" : 0,
 "Dexterity" : 0,
 "Intelligence" : 0,
 "Wisdom" : 1,
 "Charisma" : 0,
 "Speed" : 0,
 "Languages" : [],
 "Resistances" : [],
"Skills" : [], "SaveAdvantages" : [],
"Weapons" : [], "ArmorCategories" : []
  },
"MONTAINS_DWARF": {
 "Id" : "MONTAINS_DWARF",
 "Race" : "DWARF",
 "Name" : "Nain des montagnes",
 "OV" : "Mountains Dwarf",
 "Strength" : 2,
 "Constitution" : 0,
 "Dexterity" : 0,
 "Intelligence" : 0,
 "Wisdom" : 0,
 "Charisma" : 0,
 "Speed" : 0,
 "Languages" : [],
 "Resistances" : [],
"Skills" : [], "SaveAdvantages" : [],
"Weapons" : [], "ArmorCategories" : ["1_LIGHT", "2_MID"]
  },
"FORESTS_GNOME": {
 "Id" : "FORESTS_GNOME",
 "Race" : "GNOME",
 "Name" : "Gnome des forêts",
 "OV" : "Forests Gnome",
 "Strength" : 0,
 "Constitution" : 0,
 "Dexterity" : 1,
 "Intelligence" : 0,
 "Wisdom" : 0,
 "Charisma" : 0,
 "Speed" : 0,
 "Languages" : [],
 "Resistances" : [],
"Skills" : [], "SaveAdvantages" : [],
"Weapons" : [], "ArmorCategories" : []
  },
"ROCKS_GNOME": {
 "Id" : "ROCKS_GNOME",
 "Race" : "GNOME",
 "Name" : "Gnome des roches",
 "OV" : "Rocks Gnome",
 "Strength" : 1,
 "Constitution" : 0,
 "Dexterity" : 0,
 "Intelligence" : 0,
 "Wisdom" : 0,
 "Charisma" : 0,
 "Speed" : 0,
 "Languages" : [],
 "Resistances" : [],
"Skills" : [], "SaveAdvantages" : [],
"Weapons" : [], "ArmorCategories" : []
  },
"DEPTH_GNOME": {
 "Id" : "DEPTH_GNOME",
 "Race" : "GNOME",
 "Name" : "Gnome des profondeurs *",
 "OV" : "Depth Gnome",
 "Strength" : 0,
 "Constitution" : 0,
 "Dexterity" : 1,
 "Intelligence" : 0,
 "Wisdom" : 0,
 "Charisma" : 0,
 "Speed" : 0,
 "Languages" : ["DEPTH_COMMON"],
 "Resistances" : [],
"Skills" : [], "SaveAdvantages" : [],
"Weapons" : [], "ArmorCategories" : []
  },
"AIR_GENASI": {
 "Id" : "AIR_GENASI",
 "Race" : "GENASI",
 "Name" : "Génasi de l'air",
 "OV" : "Air Genasi",
 "Strength" : 0,
 "Constitution" : 0,
 "Dexterity" : 1,
 "Intelligence" : 0,
 "Wisdom" : 0,
 "Charisma" : 0,
 "Speed" : 0,
 "Languages" : [],
 "Resistances" : [],
"Skills" : [], "SaveAdvantages" : [],
"Weapons" : [], "ArmorCategories" : []
  },
"EARTH_GENASI": {
 "Id" : "EARTH_GENASI",
 "Race" : "GENASI",
 "Name" : "Génasi de la terre",
 "OV" : "Earth Genasi",
 "Strength" : 1,
 "Constitution" : 0,
 "Dexterity" : 0,
 "Intelligence" : 0,
 "Wisdom" : 0,
 "Charisma" : 0,
 "Speed" : 0,
 "Languages" : [],
 "Resistances" : [],
"Skills" : [], "SaveAdvantages" : [],
"Weapons" : [], "ArmorCategories" : []
  },
"FIRE_GENASI": {
 "Id" : "FIRE_GENASI",
 "Race" : "GENASI",
 "Name" : "Génasi du feu",
 "OV" : "Fire Genasi",
 "Strength" : 0,
 "Constitution" : 0,
 "Dexterity" : 0,
 "Intelligence" : 1,
 "Wisdom" : 0,
 "Charisma" : 0,
 "Speed" : 0,
 "Languages" : [],
 "Resistances" : ["FIRE"],
"Skills" : [], "SaveAdvantages" : [],
"Weapons" : [], "ArmorCategories" : []
  },
"WATER_GENASI": {
 "Id" : "WATER_GENASI",
 "Race" : "GENASI",
 "Name" : "Génasi de l'eau",
 "OV" : "Water Genasi",
 "Strength" : 0,
 "Constitution" : 0,
 "Dexterity" : 0,
 "Intelligence" : 0,
 "Wisdom" : 1,
 "Charisma" : 0,
 "Speed" : 0,
 "Languages" : [],
 "Resistances" : ["ACID"],
"Skills" : [], "SaveAdvantages" : [],
"Weapons" : [], "ArmorCategories" : []
  },
"HUMAN": {
 "Id" : "HUMAN",
 "Race" : "HUMAN",
 "Name" : "Humain",
 "OV" : "Human",
 "Strength" : 0,
 "Constitution" : 0,
 "Dexterity" : 0,
 "Intelligence" : 0,
 "Wisdom" : 0,
 "Charisma" : 0,
 "Speed" : 0,
 "Languages" : [],
 "Resistances" : [],
"Skills" : [], "SaveAdvantages" : [],
"Weapons" : [], "ArmorCategories" : []
  },
"HALF_ELF": {
 "Id" : "HALF_ELF",
 "Race" : "HALF_ELF",
 "Name" : "Demi-Elfe",
 "OV" : "Half-Elf",
 "Strength" : 0,
 "Constitution" : 0,
 "Dexterity" : 0,
 "Intelligence" : 0,
 "Wisdom" : 0,
 "Charisma" : 0,
 "Speed" : 0,
 "Languages" : [],
 "Resistances" : [],
"Skills" : [], "SaveAdvantages" : [],
"Weapons" : [], "ArmorCategories" : []
  },
"HALF_ORC": {
 "Id" : "HALF_ORC",
 "Race" : "HALF_ORC",
 "Name" : "Demi-Orque",
 "OV" : "Half-Orc",
 "Strength" : 0,
 "Constitution" : 0,
 "Dexterity" : 0,
 "Intelligence" : 0,
 "Wisdom" : 0,
 "Charisma" : 0,
 "Speed" : 0,
 "Languages" : [],
 "Resistances" : [],
"Skills" : [], "SaveAdvantages" : [],
"Weapons" : [], "ArmorCategories" : []
  },
"WHITE_DRAGON":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
"BLUE_DRAGON":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
"BLACK_DRAGON":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
"RED_DRAGON":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
"GREEN_DRAGON":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
"BRASS_DRAGON":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
"SILVER_DRAGON":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
"BRONZE_DRAGON":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
"COPPER_DRAGON":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
"GOLD_DRAGON":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
"TIEFFLING_0": {
 "Id" : "TIEFFLING_0",
 "Race" : "TIEFFLING",
 "Name" : "Tieffelin",
 "OV" : "Tieffling",
 "Strength" : 0,
 "Constitution" : 0,
 "Dexterity" : 0,
 "Intelligence" : 1,
 "Wisdom" : 0,
 "Charisma" : 2,
 "Speed" : 0,
 "Languages" : [],
 "Resistances" : ["FIRE"],
"Skills" : [], "SaveAdvantages" : [],
"Weapons" : [], "ArmorCategories" : []
  },
"TIEFFLING_ASMODEUS":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
"TIEFFLING_BEELZEBUB":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
"TIEFFLING_DISPAT":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
"TIEFFLING_FIERNA":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
"TIEFFLING_GLASYA":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
"TIEFFLING_LEVISTUS":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
"TIEFFLING_MAMMON":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
"TIEFFLING_MEPHISTOPHELES":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
"TIEFFLING_ZARIEL":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
"FERAL_ANIMAL_SKIN":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
"FERAL_LONG_TEETH":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
"FERAL_LONG_STRIDE":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
"FERAL_WILD_HUNT": {
 "Id" : "FERAL_WILD_HUNT",
 "Race" : "FERAL",
 "Name" : "Féral - Traque sauvage",
 "OV" : "Feral - Wild hunt",
 "Strength" : 0,
 "Constitution" : 0,
 "Dexterity" : 0,
 "Intelligence" : 0,
 "Wisdom" : 2,
 "Charisma" : 0,
 "Speed" : 0,
 "Languages" : [],
 "Resistances" : [],
"Skills" : ["Survie"], "SaveAdvantages" : [],
"Weapons" : [], "ArmorCategories" : []
  },
"LEONID_HARD_SKIN": {
 "Id" : "LEONID_HARD_SKIN",
 "Race" : "LEONID",
 "Name" : "Léonide - Peau dur",
 "OV" : "Leonid - Hard skin",
 "Strength" : 0,
 "Constitution" : 2,
 "Dexterity" : 0,
 "Intelligence" : 0,
 "Wisdom" : 0,
 "Charisma" : 0,
 "Speed" : 0,
 "Languages" : [],
 "Resistances" : [],
"Skills" : ["Athlétisme"], "SaveAdvantages" : [],
"Weapons" : [], "ArmorCategories" : []
  },
"LEONID_FANGED_FANGS":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
"LEONID_FELINE_STRIDE":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
"LEONID_HUNTER_PREDATOR":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
"KALASHTAR": {
 "Id" : "KALASHTAR",
 "Race" : "KALASHTAR",
 "Name" : "Kalashtar",
 "OV" : "Kalashtar",
 "Strength" : 0,
 "Constitution" : 0,
 "Dexterity" : 0,
 "Intelligence" : 0,
 "Wisdom" : 0,
 "Charisma" : 0,
 "Speed" : 0,
 "Languages" : [],
 "Resistances" : [],
"Skills" : [], "SaveAdvantages" : [],
"Weapons" : [], "ArmorCategories" : []
  },
"WARFORGED": {
 "Id" : "WARFORGED",
 "Race" : "WARFORGED",
 "Name" : "Forgelier",
 "OV" : "Warforged",
 "Strength" : 0,
 "Constitution" : 0,
 "Dexterity" : 0,
 "Intelligence" : 0,
 "Wisdom" : 0,
 "Charisma" : 0,
 "Speed" : 0,
 "Languages" : [],
 "Resistances" : [],
"Skills" : [], "SaveAdvantages" : [],
"Weapons" : [], "ArmorCategories" : []
  },
"LOXODON": {
 "Id" : "LOXODON",
 "Race" : "LOXODON",
 "Name" : "Loxodon",
 "OV" : "Loxodon",
 "Strength" : 0,
 "Constitution" : 0,
 "Dexterity" : 0,
 "Intelligence" : 0,
 "Wisdom" : 0,
 "Charisma" : 0,
 "Speed" : 0,
 "Languages" : [],
 "Resistances" : [],
"Skills" : [], "SaveAdvantages" : [],
"Weapons" : [], "ArmorCategories" : []
  },
"SIMIC": {
 "Id" : "SIMIC",
 "Race" : "SIMIC",
 "Name" : "Simic",
 "OV" : "Simic",
 "Strength" : 0,
 "Constitution" : 0,
 "Dexterity" : 0,
 "Intelligence" : 0,
 "Wisdom" : 0,
 "Charisma" : 0,
 "Speed" : 0,
 "Languages" : [],
 "Resistances" : [],
"Skills" : [], "SaveAdvantages" : [],
"Weapons" : [], "ArmorCategories" : []
  },
"VEDALKEN": {
 "Id" : "VEDALKEN",
 "Race" : "VEDALKEN",
 "Name" : "Veldaken",
 "OV" : "Veldaken",
 "Strength" : 0,
 "Constitution" : 0,
 "Dexterity" : 0,
 "Intelligence" : 0,
 "Wisdom" : 0,
 "Charisma" : 0,
 "Speed" : 0,
 "Languages" : [],
 "Resistances" : [],
"Skills" : [], "SaveAdvantages" : [],
"Weapons" : [], "ArmorCategories" : []
  },
"VIASHINO": {
 "Id" : "VIASHINO",
 "Race" : "VIASHINO",
 "Name" : "Viashino",
 "OV" : "Viashino",
 "Strength" : 0,
 "Constitution" : 0,
 "Dexterity" : 0,
 "Intelligence" : 0,
 "Wisdom" : 0,
 "Charisma" : 0,
 "Speed" : 0,
 "Languages" : [],
 "Resistances" : [],
"Skills" : [], "SaveAdvantages" : [],
"Weapons" : [], "ArmorCategories" : []
  },
"CHANGELING": {
 "Id" : "CHANGELING",
 "Race" : "CHANGELING",
 "Name" : "Changelin",
 "OV" : "Changeling",
 "Strength" : 0,
 "Constitution" : 0,
 "Dexterity" : 0,
 "Intelligence" : 0,
 "Wisdom" : 0,
 "Charisma" : 0,
 "Speed" : 0,
 "Languages" : [],
 "Resistances" : [],
"Skills" : [], "SaveAdvantages" : [],
"Weapons" : [], "ArmorCategories" : []
  },
"AARAKOCRA": {
 "Id" : "AARAKOCRA",
 "Race" : "AARAKOCRA",
 "Name" : "Aarakocra *",
 "OV" : "Aarakocra",
 "Strength" : 0,
 "Constitution" : 0,
 "Dexterity" : 0,
 "Intelligence" : 0,
 "Wisdom" : 0,
 "Charisma" : 0,
 "Speed" : 0,
 "Languages" : [],
 "Resistances" : [],
"Skills" : [], "SaveAdvantages" : [],
"Weapons" : [], "ArmorCategories" : []
  },
"GOLIATH": {
 "Id" : "GOLIATH",
 "Race" : "GOLIATH",
 "Name" : "Goliath *",
 "OV" : "Goliath",
 "Strength" : 0,
 "Constitution" : 0,
 "Dexterity" : 0,
 "Intelligence" : 0,
 "Wisdom" : 0,
 "Charisma" : 0,
 "Speed" : 0,
 "Languages" : [],
 "Resistances" : [],
"Skills" : [], "SaveAdvantages" : [],
"Weapons" : [], "ArmorCategories" : []
  }
 }</v>
      </c>
    </row>
    <row r="34" spans="1:3" ht="15" customHeight="1">
      <c r="A34" t="s">
        <v>1055</v>
      </c>
      <c r="B34" t="str">
        <f>Babioles!D103</f>
        <v>"1": {
 "d100" : 1,
 "Name" : "Une main de gobelin momifiée"
  },
"2": {
 "d100" : 2,
 "Name" : "Un morceau de cristal qui brille faiblement au clair de lune"
  },
"3": {
 "d100" : 3,
 "Name" : "Une pièce d'or d'une terre inconnue"
  },
"4": {
 "d100" : 4,
 "Name" : "Un journal écrit dans une langue que vous ne connaissez pas"
  },
"5": {
 "d100" : 5,
 "Name" : "Un anneau de cuivre qui ne ternit pas"
  },
"6": {
 "d100" : 6,
 "Name" : "Une vieille pièce d'échecs en verre"
  },
"7": {
 "d100" : 7,
 "Name" : "Une paire de dés en osselet, chacun portant le symbole d'un crâne sur la face qui montrerait normalement le 6"
  },
"8": {
 "d100" : 8,
 "Name" : "Une petite idole représentant une créature cauchemardesque qui vous donne des rêves troublants quand vous dormez près d'elle"
  },
"9": {
 "d100" : 9,
 "Name" : "Un collier en corde duquel pendent quatre doigts elfes momifiés"
  },
"10": {
 "d100" : 10,
 "Name" : "L'acte d'une parcelle de terrain d'un domaine que vous ne connaissez pas"
  },
"11": {
 "d100" : 11,
 "Name" : "Un bloc de 30 grammes d'un matériau inconnu"
  },
"12": {
 "d100" : 12,
 "Name" : "Une petite poupée de chiffon piquée avec des aiguilles"
  },
"13": {
 "d100" : 13,
 "Name" : "Une dent d'une bête inconnue"
  },
"14": {
 "d100" : 14,
 "Name" : "Une énorme écaille, peut-être d'un dragon"
  },
"15": {
 "d100" : 15,
 "Name" : "Une plume vert clair"
  },
"16": {
 "d100" : 16,
 "Name" : "Une vieille carte de divination portant votre portrait"
  },
"17": {
 "d100" : 17,
 "Name" : "Un orbe en verre rempli de fumée qui se déplace"
  },
"18": {
 "d100" : 18,
 "Name" : "Un oeuf de 30 grammes avec une coque rouge vif"
  },
"19": {
 "d100" : 19,
 "Name" : "Une pipe qui fait des bulles"
  },
"20": {
 "d100" : 20,
 "Name" : "Un pot en verre contenant un morceau de chair bizarre qui flotte dans un liquide salé"
  },
"21": {
 "d100" : 21,
 "Name" : "Une petite boîte à musique de gnome qui joue une chanson qui vous rappelle vaguement votre enfance"
  },
"22": {
 "d100" : 22,
 "Name" : "Une petite statuette en bois d'un halfelin béat"
  },
"23": {
 "d100" : 23,
 "Name" : "Un orbe en cuivre gravé de runes étranges"
  },
"24": {
 "d100" : 24,
 "Name" : "Un disque de pierre multicolore"
  },
"25": {
 "d100" : 25,
 "Name" : "Une petite icône d'argent représentant un corbeau"
  },
"26": {
 "d100" : 26,
 "Name" : "Un sac contenant quarante-sept dents humanoïdes, dont l'une est cariée"
  },
"27": {
 "d100" : 27,
 "Name" : "Un fragment d'obsidienne qui se sent toujours chaud au toucher"
  },
"28": {
 "d100" : 28,
 "Name" : "Une griffe osseuse d'un dragon suspendue à un collier de cuir lisse"
  },
"29": {
 "d100" : 29,
 "Name" : "Une paire de vieilles chaussettes"
  },
"30": {
 "d100" : 30,
 "Name" : "Un livre blanc dont les pages refusent de retenir l'encre, la craie, la graphite ou toute autre substance ou marquage"
  },
"31": {
 "d100" : 31,
 "Name" : "Un badge en argent qui représente une étoile à cinq branches"
  },
"32": {
 "d100" : 32,
 "Name" : "Un couteau qui appartenait à un parent"
  },
"33": {
 "d100" : 33,
 "Name" : "Un flacon de verre rempli de rognures d'ongles"
  },
"34": {
 "d100" : 34,
 "Name" : "Un dispositif métallique et rectangulaire avec deux petites coupes en métal à une extrémité et qui jette des étincelles lorsqu'il est mouillé"
  },
"35": {
 "d100" : 35,
 "Name" : "Un gant blanc pailleté aux dimensions d'un humain"
  },
"36": {
 "d100" : 36,
 "Name" : "Une veste avec une centaine de minuscules poches"
  },
"37": {
 "d100" : 37,
 "Name" : "Un petit bloc de pierre léger"
  },
"38": {
 "d100" : 38,
 "Name" : "Un petit dessin qui représente le portrait d'un gobelin"
  },
"39": {
 "d100" : 39,
 "Name" : "Un flacon de verre vide qui sent le parfum lorsqu'il est ouvert"
  },
"40": {
 "d100" : 40,
 "Name" : "Une pierre précieuse qui ressemble à un morceau de charbon pour tout le monde, sauf pour vous"
  },
"41": {
 "d100" : 41,
 "Name" : "Un morceau de tissu d'une vieille bannière"
  },
"42": {
 "d100" : 42,
 "Name" : "Un insigne de grade d'un légionnaire perdu"
  },
"43": {
 "d100" : 43,
 "Name" : "Une cloche en argent minuscule et sans battant"
  },
"44": {
 "d100" : 44,
 "Name" : "Un canari mécanique à l'intérieur d'une lampe de gnome"
  },
"45": {
 "d100" : 45,
 "Name" : "Un petit coffre avec de nombreux pieds sculptés sur le fond"
  },
"46": {
 "d100" : 46,
 "Name" : "Une pixie morte à l'intérieur d'une bouteille en verre transparent"
  },
"47": {
 "d100" : 47,
 "Name" : "Une boîte métallique qui n'a pas d'ouverture mais qui sonne comme si elle était remplie de liquide, de sable, d'araignées ou de verre brisé (au choix)"
  },
"48": {
 "d100" : 48,
 "Name" : "Un orbe de verre rempli d'eau, dans lequel nage un poisson rouge mécanique"
  },
"49": {
 "d100" : 49,
 "Name" : "Une cuillère d'argent avec un M gravé sur le manche"
  },
"50": {
 "d100" : 50,
 "Name" : "Un sifflet en bois de couleur or"
  },
"51": {
 "d100" : 51,
 "Name" : "Un scarabée mort de la taille de votre main"
  },
"52": {
 "d100" : 52,
 "Name" : "Deux soldats de plomb, l'un avec la tête manquante"
  },
"53": {
 "d100" : 53,
 "Name" : "Une petite boîte remplie de boutons de différentes tailles"
  },
"54": {
 "d100" : 54,
 "Name" : "Une bougie qui ne peut pas être allumée"
  },
"55": {
 "d100" : 55,
 "Name" : "Une petite cage sans porte"
  },
"56": {
 "d100" : 56,
 "Name" : "Une vieille clé"
  },
"57": {
 "d100" : 57,
 "Name" : "Une carte au trésor indéchiffrable"
  },
"58": {
 "d100" : 58,
 "Name" : "Une poigne d'épée brisée"
  },
"59": {
 "d100" : 59,
 "Name" : "Une patte de lapin"
  },
"60": {
 "d100" : 60,
 "Name" : "Un œil de verre"
  },
"61": {
 "d100" : 61,
 "Name" : "Un camée (pendentif) sculpté à l'image d'une personne hideuse"
  },
"62": {
 "d100" : 62,
 "Name" : "Un crâne en argent de la taille d'une pièce de monnaie"
  },
"63": {
 "d100" : 63,
 "Name" : "Un masque d'albâtre"
  },
"64": {
 "d100" : 64,
 "Name" : "Une pyramide de bâtonnets d'encens noir qui sent très mauvais"
  },
"65": {
 "d100" : 65,
 "Name" : "Un bonnet de nuit qui, lorsqu'il est porté, vous donne des rêves agréables"
  },
"66": {
 "d100" : 66,
 "Name" : "Une chausse-trappe unique fabriquée à partir d'un os"
  },
"67": {
 "d100" : 67,
 "Name" : "Un cadre de monocle en or sans la lentille"
  },
"68": {
 "d100" : 68,
 "Name" : "Un cube de 2 centimètres de côté, avec chaque face peinte d'une couleur différente"
  },
"69": {
 "d100" : 69,
 "Name" : "Un bouton de porte en cristal"
  },
"70": {
 "d100" : 70,
 "Name" : "Un petit paquet rempli de poussière rose"
  },
"71": {
 "d100" : 71,
 "Name" : "Un fragment d'une belle chanson, écrite avec des notes de musique sur deux morceaux de parchemin"
  },
"72": {
 "d100" : 72,
 "Name" : "Une boucle d'oreille en forme de goutte d'argent faite à partir d'une vraie larme"
  },
"73": {
 "d100" : 73,
 "Name" : "La coquille d'un oeuf peint avec des scènes de misère humaine d'un détail troublant"
  },
"74": {
 "d100" : 74,
 "Name" : "Un éventail qui, une fois déplié, montre un chat endormi"
  },
"75": {
 "d100" : 75,
 "Name" : "Un ensemble de tubes d'os"
  },
"76": {
 "d100" : 76,
 "Name" : "Un trèfle à quatre feuilles à l'intérieur d'un livre qui traite des bonnes manières et de l'étiquette"
  },
"77": {
 "d100" : 77,
 "Name" : "Une feuille de parchemin sur laquelle est dessiné un engin mécanique complexe"
  },
"78": {
 "d100" : 78,
 "Name" : "Un fourreau orné dans lequel à ce jour aucune lame ne rentre"
  },
"79": {
 "d100" : 79,
 "Name" : "Une invitation à une fête où un assassinat a eu lieu"
  },
"80": {
 "d100" : 80,
 "Name" : "Un pentacle de bronze avec la gravure d'une tête de rat au centre"
  },
"81": {
 "d100" : 81,
 "Name" : "Un mouchoir violet brodé avec le nom d'un puissant archimage"
  },
"82": {
 "d100" : 82,
 "Name" : "La moitié du plan d'un temple, d'un château, ou d'une autre structure"
  },
"83": {
 "d100" : 83,
 "Name" : "Un peu de tissu plié qui, une fois déplié, se transforme en un élégant chapeau"
  },
"84": {
 "d100" : 84,
 "Name" : "Un récépissé de dépôt dans une banque d'une ville très éloignée"
  },
"85": {
 "d100" : 85,
 "Name" : "Un journal avec sept pages manquantes"
  },
"86": {
 "d100" : 86,
 "Name" : "Une tabatière en argent vide et portant une inscription sur le dessus qui dit « rêves »"
  },
"87": {
 "d100" : 87,
 "Name" : "Un symbole sacré en fer et consacré à un dieu inconnu"
  },
"88": {
 "d100" : 88,
 "Name" : "Un livre qui raconte l'histoire de l'ascension et la chute d'un héros légendaire, avec le dernier chapitre manquant"
  },
"89": {
 "d100" : 89,
 "Name" : "Un flacon de sang de dragon"
  },
"90": {
 "d100" : 90,
 "Name" : "Une ancienne flèche de conception elfique"
  },
"91": {
 "d100" : 91,
 "Name" : "Une aiguille qui ne se plie pas"
  },
"92": {
 "d100" : 92,
 "Name" : "Une broche ornée de conception naine"
  },
"93": {
 "d100" : 93,
 "Name" : "Une bouteille de vin vide portant une jolie étiquette qui dit « Le magicien des vins, Cuvée du Dragon Rouge, 331422-W »"
  },
"94": {
 "d100" : 94,
 "Name" : "Un couvercle avec une mosaïque multicolore en surface"
  },
"95": {
 "d100" : 95,
 "Name" : "Une souris pétrifiée"
  },
"96": {
 "d100" : 96,
 "Name" : "Un drapeau de pirate noir orné d'un crâne et des os croisés d'un dragon"
  },
"97": {
 "d100" : 97,
 "Name" : "Un petit crabe ou araignée mécanique qui se déplace quand il n'est pas observé"
  },
"98": {
 "d100" : 98,
 "Name" : "Un pot de verre contenant du lard avec une étiquette qui dit « Graisse de griffon »"
  },
"99": {
 "d100" : 99,
 "Name" : "Une boîte en bois avec un fond en céramique qui contient un ver vivant avec une tête à chaque extrémité de son corps"
  }</v>
      </c>
      <c r="C34" t="str">
        <f t="shared" si="0"/>
        <v>"Trinkets" : {
 "1": {
 "d100" : 1,
 "Name" : "Une main de gobelin momifiée"
  },
"2": {
 "d100" : 2,
 "Name" : "Un morceau de cristal qui brille faiblement au clair de lune"
  },
"3": {
 "d100" : 3,
 "Name" : "Une pièce d'or d'une terre inconnue"
  },
"4": {
 "d100" : 4,
 "Name" : "Un journal écrit dans une langue que vous ne connaissez pas"
  },
"5": {
 "d100" : 5,
 "Name" : "Un anneau de cuivre qui ne ternit pas"
  },
"6": {
 "d100" : 6,
 "Name" : "Une vieille pièce d'échecs en verre"
  },
"7": {
 "d100" : 7,
 "Name" : "Une paire de dés en osselet, chacun portant le symbole d'un crâne sur la face qui montrerait normalement le 6"
  },
"8": {
 "d100" : 8,
 "Name" : "Une petite idole représentant une créature cauchemardesque qui vous donne des rêves troublants quand vous dormez près d'elle"
  },
"9": {
 "d100" : 9,
 "Name" : "Un collier en corde duquel pendent quatre doigts elfes momifiés"
  },
"10": {
 "d100" : 10,
 "Name" : "L'acte d'une parcelle de terrain d'un domaine que vous ne connaissez pas"
  },
"11": {
 "d100" : 11,
 "Name" : "Un bloc de 30 grammes d'un matériau inconnu"
  },
"12": {
 "d100" : 12,
 "Name" : "Une petite poupée de chiffon piquée avec des aiguilles"
  },
"13": {
 "d100" : 13,
 "Name" : "Une dent d'une bête inconnue"
  },
"14": {
 "d100" : 14,
 "Name" : "Une énorme écaille, peut-être d'un dragon"
  },
"15": {
 "d100" : 15,
 "Name" : "Une plume vert clair"
  },
"16": {
 "d100" : 16,
 "Name" : "Une vieille carte de divination portant votre portrait"
  },
"17": {
 "d100" : 17,
 "Name" : "Un orbe en verre rempli de fumée qui se déplace"
  },
"18": {
 "d100" : 18,
 "Name" : "Un oeuf de 30 grammes avec une coque rouge vif"
  },
"19": {
 "d100" : 19,
 "Name" : "Une pipe qui fait des bulles"
  },
"20": {
 "d100" : 20,
 "Name" : "Un pot en verre contenant un morceau de chair bizarre qui flotte dans un liquide salé"
  },
"21": {
 "d100" : 21,
 "Name" : "Une petite boîte à musique de gnome qui joue une chanson qui vous rappelle vaguement votre enfance"
  },
"22": {
 "d100" : 22,
 "Name" : "Une petite statuette en bois d'un halfelin béat"
  },
"23": {
 "d100" : 23,
 "Name" : "Un orbe en cuivre gravé de runes étranges"
  },
"24": {
 "d100" : 24,
 "Name" : "Un disque de pierre multicolore"
  },
"25": {
 "d100" : 25,
 "Name" : "Une petite icône d'argent représentant un corbeau"
  },
"26": {
 "d100" : 26,
 "Name" : "Un sac contenant quarante-sept dents humanoïdes, dont l'une est cariée"
  },
"27": {
 "d100" : 27,
 "Name" : "Un fragment d'obsidienne qui se sent toujours chaud au toucher"
  },
"28": {
 "d100" : 28,
 "Name" : "Une griffe osseuse d'un dragon suspendue à un collier de cuir lisse"
  },
"29": {
 "d100" : 29,
 "Name" : "Une paire de vieilles chaussettes"
  },
"30": {
 "d100" : 30,
 "Name" : "Un livre blanc dont les pages refusent de retenir l'encre, la craie, la graphite ou toute autre substance ou marquage"
  },
"31": {
 "d100" : 31,
 "Name" : "Un badge en argent qui représente une étoile à cinq branches"
  },
"32": {
 "d100" : 32,
 "Name" : "Un couteau qui appartenait à un parent"
  },
"33": {
 "d100" : 33,
 "Name" : "Un flacon de verre rempli de rognures d'ongles"
  },
"34": {
 "d100" : 34,
 "Name" : "Un dispositif métallique et rectangulaire avec deux petites coupes en métal à une extrémité et qui jette des étincelles lorsqu'il est mouillé"
  },
"35": {
 "d100" : 35,
 "Name" : "Un gant blanc pailleté aux dimensions d'un humain"
  },
"36": {
 "d100" : 36,
 "Name" : "Une veste avec une centaine de minuscules poches"
  },
"37": {
 "d100" : 37,
 "Name" : "Un petit bloc de pierre léger"
  },
"38": {
 "d100" : 38,
 "Name" : "Un petit dessin qui représente le portrait d'un gobelin"
  },
"39": {
 "d100" : 39,
 "Name" : "Un flacon de verre vide qui sent le parfum lorsqu'il est ouvert"
  },
"40": {
 "d100" : 40,
 "Name" : "Une pierre précieuse qui ressemble à un morceau de charbon pour tout le monde, sauf pour vous"
  },
"41": {
 "d100" : 41,
 "Name" : "Un morceau de tissu d'une vieille bannière"
  },
"42": {
 "d100" : 42,
 "Name" : "Un insigne de grade d'un légionnaire perdu"
  },
"43": {
 "d100" : 43,
 "Name" : "Une cloche en argent minuscule et sans battant"
  },
"44": {
 "d100" : 44,
 "Name" : "Un canari mécanique à l'intérieur d'une lampe de gnome"
  },
"45": {
 "d100" : 45,
 "Name" : "Un petit coffre avec de nombreux pieds sculptés sur le fond"
  },
"46": {
 "d100" : 46,
 "Name" : "Une pixie morte à l'intérieur d'une bouteille en verre transparent"
  },
"47": {
 "d100" : 47,
 "Name" : "Une boîte métallique qui n'a pas d'ouverture mais qui sonne comme si elle était remplie de liquide, de sable, d'araignées ou de verre brisé (au choix)"
  },
"48": {
 "d100" : 48,
 "Name" : "Un orbe de verre rempli d'eau, dans lequel nage un poisson rouge mécanique"
  },
"49": {
 "d100" : 49,
 "Name" : "Une cuillère d'argent avec un M gravé sur le manche"
  },
"50": {
 "d100" : 50,
 "Name" : "Un sifflet en bois de couleur or"
  },
"51": {
 "d100" : 51,
 "Name" : "Un scarabée mort de la taille de votre main"
  },
"52": {
 "d100" : 52,
 "Name" : "Deux soldats de plomb, l'un avec la tête manquante"
  },
"53": {
 "d100" : 53,
 "Name" : "Une petite boîte remplie de boutons de différentes tailles"
  },
"54": {
 "d100" : 54,
 "Name" : "Une bougie qui ne peut pas être allumée"
  },
"55": {
 "d100" : 55,
 "Name" : "Une petite cage sans porte"
  },
"56": {
 "d100" : 56,
 "Name" : "Une vieille clé"
  },
"57": {
 "d100" : 57,
 "Name" : "Une carte au trésor indéchiffrable"
  },
"58": {
 "d100" : 58,
 "Name" : "Une poigne d'épée brisée"
  },
"59": {
 "d100" : 59,
 "Name" : "Une patte de lapin"
  },
"60": {
 "d100" : 60,
 "Name" : "Un œil de verre"
  },
"61": {
 "d100" : 61,
 "Name" : "Un camée (pendentif) sculpté à l'image d'une personne hideuse"
  },
"62": {
 "d100" : 62,
 "Name" : "Un crâne en argent de la taille d'une pièce de monnaie"
  },
"63": {
 "d100" : 63,
 "Name" : "Un masque d'albâtre"
  },
"64": {
 "d100" : 64,
 "Name" : "Une pyramide de bâtonnets d'encens noir qui sent très mauvais"
  },
"65": {
 "d100" : 65,
 "Name" : "Un bonnet de nuit qui, lorsqu'il est porté, vous donne des rêves agréables"
  },
"66": {
 "d100" : 66,
 "Name" : "Une chausse-trappe unique fabriquée à partir d'un os"
  },
"67": {
 "d100" : 67,
 "Name" : "Un cadre de monocle en or sans la lentille"
  },
"68": {
 "d100" : 68,
 "Name" : "Un cube de 2 centimètres de côté, avec chaque face peinte d'une couleur différente"
  },
"69": {
 "d100" : 69,
 "Name" : "Un bouton de porte en cristal"
  },
"70": {
 "d100" : 70,
 "Name" : "Un petit paquet rempli de poussière rose"
  },
"71": {
 "d100" : 71,
 "Name" : "Un fragment d'une belle chanson, écrite avec des notes de musique sur deux morceaux de parchemin"
  },
"72": {
 "d100" : 72,
 "Name" : "Une boucle d'oreille en forme de goutte d'argent faite à partir d'une vraie larme"
  },
"73": {
 "d100" : 73,
 "Name" : "La coquille d'un oeuf peint avec des scènes de misère humaine d'un détail troublant"
  },
"74": {
 "d100" : 74,
 "Name" : "Un éventail qui, une fois déplié, montre un chat endormi"
  },
"75": {
 "d100" : 75,
 "Name" : "Un ensemble de tubes d'os"
  },
"76": {
 "d100" : 76,
 "Name" : "Un trèfle à quatre feuilles à l'intérieur d'un livre qui traite des bonnes manières et de l'étiquette"
  },
"77": {
 "d100" : 77,
 "Name" : "Une feuille de parchemin sur laquelle est dessiné un engin mécanique complexe"
  },
"78": {
 "d100" : 78,
 "Name" : "Un fourreau orné dans lequel à ce jour aucune lame ne rentre"
  },
"79": {
 "d100" : 79,
 "Name" : "Une invitation à une fête où un assassinat a eu lieu"
  },
"80": {
 "d100" : 80,
 "Name" : "Un pentacle de bronze avec la gravure d'une tête de rat au centre"
  },
"81": {
 "d100" : 81,
 "Name" : "Un mouchoir violet brodé avec le nom d'un puissant archimage"
  },
"82": {
 "d100" : 82,
 "Name" : "La moitié du plan d'un temple, d'un château, ou d'une autre structure"
  },
"83": {
 "d100" : 83,
 "Name" : "Un peu de tissu plié qui, une fois déplié, se transforme en un élégant chapeau"
  },
"84": {
 "d100" : 84,
 "Name" : "Un récépissé de dépôt dans une banque d'une ville très éloignée"
  },
"85": {
 "d100" : 85,
 "Name" : "Un journal avec sept pages manquantes"
  },
"86": {
 "d100" : 86,
 "Name" : "Une tabatière en argent vide et portant une inscription sur le dessus qui dit « rêves »"
  },
"87": {
 "d100" : 87,
 "Name" : "Un symbole sacré en fer et consacré à un dieu inconnu"
  },
"88": {
 "d100" : 88,
 "Name" : "Un livre qui raconte l'histoire de l'ascension et la chute d'un héros légendaire, avec le dernier chapitre manquant"
  },
"89": {
 "d100" : 89,
 "Name" : "Un flacon de sang de dragon"
  },
"90": {
 "d100" : 90,
 "Name" : "Une ancienne flèche de conception elfique"
  },
"91": {
 "d100" : 91,
 "Name" : "Une aiguille qui ne se plie pas"
  },
"92": {
 "d100" : 92,
 "Name" : "Une broche ornée de conception naine"
  },
"93": {
 "d100" : 93,
 "Name" : "Une bouteille de vin vide portant une jolie étiquette qui dit « Le magicien des vins, Cuvée du Dragon Rouge, 331422-W »"
  },
"94": {
 "d100" : 94,
 "Name" : "Un couvercle avec une mosaïque multicolore en surface"
  },
"95": {
 "d100" : 95,
 "Name" : "Une souris pétrifiée"
  },
"96": {
 "d100" : 96,
 "Name" : "Un drapeau de pirate noir orné d'un crâne et des os croisés d'un dragon"
  },
"97": {
 "d100" : 97,
 "Name" : "Un petit crabe ou araignée mécanique qui se déplace quand il n'est pas observé"
  },
"98": {
 "d100" : 98,
 "Name" : "Un pot de verre contenant du lard avec une étiquette qui dit « Graisse de griffon »"
  },
"99": {
 "d100" : 99,
 "Name" : "Une boîte en bois avec un fond en céramique qui contient un ver vivant avec une tête à chaque extrémité de son corps"
  }
 }</v>
      </c>
    </row>
    <row r="35" spans="1:3" ht="15" customHeight="1">
      <c r="A35" t="s">
        <v>1040</v>
      </c>
      <c r="B35" s="153" t="s">
        <v>1062</v>
      </c>
      <c r="C35" t="str">
        <f t="shared" si="0"/>
        <v>"WeaponCategories" : {
 "C_MEL": {"Code": "C_MEL", "Name": "Armes courantes de corps à corps"},
   "C_DIS": {"Code": "C_DIS","Name": "Armes courantes à distance"},
   "W_MEL": {"Code": "W_MEL","Name": "Armes de guerre de corps à corps"},
   "W_DIS": {"Code": "W_DIS","Name": "Armes de guerre à distance"}
 }</v>
      </c>
    </row>
    <row r="36" spans="1:3" ht="15" customHeight="1">
      <c r="A36" t="s">
        <v>1046</v>
      </c>
      <c r="B36" t="str">
        <f>Armes!M44</f>
        <v>"Bâton": {
 "Name" : "Bâton",
 "OV" : "Quarterstaff",
 "Category": "C_MEL",
 "Damage" : "1d6",
 "DamageType" : " Contondant",
 "Weight" : 2000,
 "Price" : 20,
 "Properties" : "Polyvalente (1d8)"
  },
"Dague": {
 "Name" : "Dague",
 "OV" : "Dagger",
 "Category": "C_MEL",
 "Damage" : "1d4",
 "DamageType" : " Perforant",
 "Weight" : 500,
 "Price" : 200,
 "Properties" : "Finesse, légère, lancer (portée 6 m/18 m)"
  },
"Gourdin": {
 "Name" : "Gourdin",
 "OV" : "Club",
 "Category": "C_MEL",
 "Damage" : "1d4",
 "DamageType" : " Contondant",
 "Weight" : 1000,
 "Price" : 10,
 "Properties" : "Légère"
  },
"Hachette": {
 "Name" : "Hachette",
 "OV" : "Handaxe",
 "Category": "C_MEL",
 "Damage" : "1d6",
 "DamageType" : " Tranchant",
 "Weight" : 1000,
 "Price" : 500,
 "Properties" : "Légère, lancer (portée 6 m/18 m)"
  },
"Javeline": {
 "Name" : "Javeline",
 "OV" : "Javelin",
 "Category": "C_MEL",
 "Damage" : "1d6",
 "DamageType" : " Perforant",
 "Weight" : 1000,
 "Price" : 50,
 "Properties" : "Lancer (portée 9 m/36 m)"
  },
"Lance": {
 "Name" : "Lance",
 "OV" : "Spear",
 "Category": "C_MEL",
 "Damage" : "1d6",
 "DamageType" : " Perforant",
 "Weight" : 1500,
 "Price" : 100,
 "Properties" : "Lancer (portée 6 m/18 m), polyvalente (1d8)"
  },
"Marteau léger": {
 "Name" : "Marteau léger",
 "OV" : "Light hammer",
 "Category": "C_MEL",
 "Damage" : "1d4",
 "DamageType" : " Contondant",
 "Weight" : 1000,
 "Price" : 200,
 "Properties" : "Légère, lancer (portée 6 m/18 m)"
  },
"Masse d'armes": {
 "Name" : "Masse d'armes",
 "OV" : "Mace",
 "Category": "C_MEL",
 "Damage" : "1d6",
 "DamageType" : " Contondant",
 "Weight" : 2000,
 "Price" : 500,
 "Properties" : "-"
  },
"Massue": {
 "Name" : "Massue",
 "OV" : "Greatclub",
 "Category": "C_MEL",
 "Damage" : "1d8",
 "DamageType" : " Contondant",
 "Weight" : 5000,
 "Price" : 20,
 "Properties" : "À deux mains"
  },
"Serpe": {
 "Name" : "Serpe",
 "OV" : "Sickle",
 "Category": "C_MEL",
 "Damage" : "1d4",
 "DamageType" : " Tranchant",
 "Weight" : 1000,
 "Price" : 100,
 "Properties" : "Légère"
  },
"Arbalète légère": {
 "Name" : "Arbalète légère",
 "OV" : "Crossbow, light",
 "Category": "C_DIS",
 "Damage" : "1d8",
 "DamageType" : " Perforant",
 "Weight" : 2500,
 "Price" : 2500,
 "Properties" : "Munitions (portée 24 m/96 m), chargement, à deux mains"
  },
"Arc court": {
 "Name" : "Arc court",
 "OV" : "Shortbow",
 "Category": "C_DIS",
 "Damage" : "1d6",
 "DamageType" : " Perforant",
 "Weight" : 1000,
 "Price" : 2500,
 "Properties" : "Munitions (portée 24 m/96 m), à deux mains"
  },
"Fléchette": {
 "Name" : "Fléchette",
 "OV" : "Dart",
 "Category": "C_DIS",
 "Damage" : "1d4",
 "DamageType" : " Perforant",
 "Weight" : 100,
 "Price" : 5,
 "Properties" : "Finesse, lancer (portée 6 m/18 m)"
  },
"Fronde": {
 "Name" : "Fronde",
 "OV" : "Sling",
 "Category": "C_DIS",
 "Damage" : "1d4",
 "DamageType" : " Contondant",
 "Weight" : 0,
 "Price" : 10,
 "Properties" : "Munitions (portée 9 m/36 m)"
  },
"Cimeterre": {
 "Name" : "Cimeterre",
 "OV" : "Scimitar",
 "Category": "W_MEL",
 "Damage" : "1d6",
 "DamageType" : " Tranchant",
 "Weight" : 1500,
 "Price" : 2500,
 "Properties" : "Finesse, légère"
  },
"Coutille": {
 "Name" : "Coutille",
 "OV" : "Glaive",
 "Category": "W_MEL",
 "Damage" : "1d10",
 "DamageType" : " Tranchant",
 "Weight" : 3000,
 "Price" : 2000,
 "Properties" : "Lourde, allonge, à deux mains"
  },
"Épée à deux mains": {
 "Name" : "Épée à deux mains",
 "OV" : "Greatsword",
 "Category": "W_MEL",
 "Damage" : "2d6",
 "DamageType" : " Tranchant",
 "Weight" : 3000,
 "Price" : 5000,
 "Properties" : "Lourde, à deux mains"
  },
"Épée courte": {
 "Name" : "Épée courte",
 "OV" : "Shortsword",
 "Category": "W_MEL",
 "Damage" : "1d6",
 "DamageType" : " Perforant",
 "Weight" : 1000,
 "Price" : 1000,
 "Properties" : "Finesse, légère"
  },
"Épée longue": {
 "Name" : "Épée longue",
 "OV" : "Longsword",
 "Category": "W_MEL",
 "Damage" : "1d8",
 "DamageType" : " Tranchant",
 "Weight" : 1500,
 "Price" : 1500,
 "Properties" : "Polyvalente (1d10)"
  },
"Fléau d'armes": {
 "Name" : "Fléau d'armes",
 "OV" : "Flail",
 "Category": "W_MEL",
 "Damage" : "1d8",
 "DamageType" : " Contondant",
 "Weight" : 1000,
 "Price" : 1000,
 "Properties" : "-"
  },
"Fouet": {
 "Name" : "Fouet",
 "OV" : "Whip",
 "Category": "W_MEL",
 "Damage" : "1d4",
 "DamageType" : " Tranchant",
 "Weight" : 1500,
 "Price" : 200,
 "Properties" : "Finesse, allonge"
  },
"Hache à deux mains": {
 "Name" : "Hache à deux mains",
 "OV" : "Greataxe",
 "Category": "W_MEL",
 "Damage" : "1d12",
 "DamageType" : " Tranchant",
 "Weight" : 3500,
 "Price" : 3000,
 "Properties" : "Lourde, à deux mains"
  },
"Hache d'armes": {
 "Name" : "Hache d'armes",
 "OV" : "Battleaxe",
 "Category": "W_MEL",
 "Damage" : "1d8",
 "DamageType" : " Tranchant",
 "Weight" : 2000,
 "Price" : 1000,
 "Properties" : "Polyvalente (1d10)"
  },
"Hallebarde": {
 "Name" : "Hallebarde",
 "OV" : "Halberd",
 "Category": "W_MEL",
 "Damage" : "1d10",
 "DamageType" : " Tranchant",
 "Weight" : 3000,
 "Price" : 2000,
 "Properties" : "Lourde, allonge, à deux mains"
  },
"Lance d’arçon": {
 "Name" : "Lance d’arçon",
 "OV" : "Lance",
 "Category": "W_MEL",
 "Damage" : "1d12",
 "DamageType" : " Perforant",
 "Weight" : 3000,
 "Price" : 1000,
 "Properties" : "Allonge, spécial"
  },
"Maillet": {
 "Name" : "Maillet",
 "OV" : "Maul",
 "Category": "W_MEL",
 "Damage" : "2d6",
 "DamageType" : " Contondant",
 "Weight" : 5000,
 "Price" : 1000,
 "Properties" : "Lourde, à deux mains"
  },
"Marteau de guerre": {
 "Name" : "Marteau de guerre",
 "OV" : "Warhammer",
 "Category": "W_MEL",
 "Damage" : "1d8",
 "DamageType" : " Contondant",
 "Weight" : 1000,
 "Price" : 1500,
 "Properties" : "Polyvalente (1d10)"
  },
"Morgenstern": {
 "Name" : "Morgenstern",
 "OV" : "Morningstar",
 "Category": "W_MEL",
 "Damage" : "1d8",
 "DamageType" : " Perforant",
 "Weight" : 2000,
 "Price" : 1500,
 "Properties" : "-"
  },
"Pic de guerre": {
 "Name" : "Pic de guerre",
 "OV" : "War pick",
 "Category": "W_MEL",
 "Damage" : "1d8",
 "DamageType" : " Perforant",
 "Weight" : 1000,
 "Price" : 500,
 "Properties" : "-"
  },
"Pique": {
 "Name" : "Pique",
 "OV" : "Pike",
 "Category": "W_MEL",
 "Damage" : "1d10",
 "DamageType" : " Perforant",
 "Weight" : 9000,
 "Price" : 500,
 "Properties" : "Lourde, allonge, à deux mains"
  },
"Rapière": {
 "Name" : "Rapière",
 "OV" : "Rapier",
 "Category": "W_MEL",
 "Damage" : "1d8",
 "DamageType" : " Perforant",
 "Weight" : 1000,
 "Price" : 2500,
 "Properties" : "Finesse"
  },
"Trident": {
 "Name" : "Trident",
 "OV" : "Trident",
 "Category": "W_MEL",
 "Damage" : "1d6",
 "DamageType" : " Perforant",
 "Weight" : 2000,
 "Price" : 500,
 "Properties" : "Lancer (portée 6 m/18 m), polyvalente (1d8)"
  },
"Arbalète de poing": {
 "Name" : "Arbalète de poing",
 "OV" : "Crossbow, hand",
 "Category": "W_DIS",
 "Damage" : "1d6",
 "DamageType" : " Perforant",
 "Weight" : 1500,
 "Price" : 7500,
 "Properties" : "Munitions (portée 9 m/36 m), légère, chargement"
  },
"Arbalète lourde": {
 "Name" : "Arbalète lourde",
 "OV" : "Crossbow, heavy",
 "Category": "W_DIS",
 "Damage" : "1d10",
 "DamageType" : " Perforant",
 "Weight" : 9000,
 "Price" : 5000,
 "Properties" : "Munitions (portée 30 m/120 m), lourde, chargement, à deux mains"
  },
"Arc long": {
 "Name" : "Arc long",
 "OV" : "Longbow",
 "Category": "W_DIS",
 "Damage" : "1d8",
 "DamageType" :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"DamageType" : " Perforant",
 "Weight" : 500,
 "Price" : 1000,
 "Properties" : "Munitions (portée 7,50 m/30 m), chargement"
  }</v>
      </c>
      <c r="C36" t="str">
        <f t="shared" si="0"/>
        <v>"Weapons" : {
 "Bâton": {
 "Name" : "Bâton",
 "OV" : "Quarterstaff",
 "Category": "C_MEL",
 "Damage" : "1d6",
 "DamageType" : " Contondant",
 "Weight" : 2000,
 "Price" : 20,
 "Properties" : "Polyvalente (1d8)"
  },
"Dague": {
 "Name" : "Dague",
 "OV" : "Dagger",
 "Category": "C_MEL",
 "Damage" : "1d4",
 "DamageType" : " Perforant",
 "Weight" : 500,
 "Price" : 200,
 "Properties" : "Finesse, légère, lancer (portée 6 m/18 m)"
  },
"Gourdin": {
 "Name" : "Gourdin",
 "OV" : "Club",
 "Category": "C_MEL",
 "Damage" : "1d4",
 "DamageType" : " Contondant",
 "Weight" : 1000,
 "Price" : 10,
 "Properties" : "Légère"
  },
"Hachette": {
 "Name" : "Hachette",
 "OV" : "Handaxe",
 "Category": "C_MEL",
 "Damage" : "1d6",
 "DamageType" : " Tranchant",
 "Weight" : 1000,
 "Price" : 500,
 "Properties" : "Légère, lancer (portée 6 m/18 m)"
  },
"Javeline": {
 "Name" : "Javeline",
 "OV" : "Javelin",
 "Category": "C_MEL",
 "Damage" : "1d6",
 "DamageType" : " Perforant",
 "Weight" : 1000,
 "Price" : 50,
 "Properties" : "Lancer (portée 9 m/36 m)"
  },
"Lance": {
 "Name" : "Lance",
 "OV" : "Spear",
 "Category": "C_MEL",
 "Damage" : "1d6",
 "DamageType" : " Perforant",
 "Weight" : 1500,
 "Price" : 100,
 "Properties" : "Lancer (portée 6 m/18 m), polyvalente (1d8)"
  },
"Marteau léger": {
 "Name" : "Marteau léger",
 "OV" : "Light hammer",
 "Category": "C_MEL",
 "Damage" : "1d4",
 "DamageType" : " Contondant",
 "Weight" : 1000,
 "Price" : 200,
 "Properties" : "Légère, lancer (portée 6 m/18 m)"
  },
"Masse d'armes": {
 "Name" : "Masse d'armes",
 "OV" : "Mace",
 "Category": "C_MEL",
 "Damage" : "1d6",
 "DamageType" : " Contondant",
 "Weight" : 2000,
 "Price" : 500,
 "Properties" : "-"
  },
"Massue": {
 "Name" : "Massue",
 "OV" : "Greatclub",
 "Category": "C_MEL",
 "Damage" : "1d8",
 "DamageType" : " Contondant",
 "Weight" : 5000,
 "Price" : 20,
 "Properties" : "À deux mains"
  },
"Serpe": {
 "Name" : "Serpe",
 "OV" : "Sickle",
 "Category": "C_MEL",
 "Damage" : "1d4",
 "DamageType" : " Tranchant",
 "Weight" : 1000,
 "Price" : 100,
 "Properties" : "Légère"
  },
"Arbalète légère": {
 "Name" : "Arbalète légère",
 "OV" : "Crossbow, light",
 "Category": "C_DIS",
 "Damage" : "1d8",
 "DamageType" : " Perforant",
 "Weight" : 2500,
 "Price" : 2500,
 "Properties" : "Munitions (portée 24 m/96 m), chargement, à deux mains"
  },
"Arc court": {
 "Name" : "Arc court",
 "OV" : "Shortbow",
 "Category": "C_DIS",
 "Damage" : "1d6",
 "DamageType" : " Perforant",
 "Weight" : 1000,
 "Price" : 2500,
 "Properties" : "Munitions (portée 24 m/96 m), à deux mains"
  },
"Fléchette": {
 "Name" : "Fléchette",
 "OV" : "Dart",
 "Category": "C_DIS",
 "Damage" : "1d4",
 "DamageType" : " Perforant",
 "Weight" : 100,
 "Price" : 5,
 "Properties" : "Finesse, lancer (portée 6 m/18 m)"
  },
"Fronde": {
 "Name" : "Fronde",
 "OV" : "Sling",
 "Category": "C_DIS",
 "Damage" : "1d4",
 "DamageType" : " Contondant",
 "Weight" : 0,
 "Price" : 10,
 "Properties" : "Munitions (portée 9 m/36 m)"
  },
"Cimeterre": {
 "Name" : "Cimeterre",
 "OV" : "Scimitar",
 "Category": "W_MEL",
 "Damage" : "1d6",
 "DamageType" : " Tranchant",
 "Weight" : 1500,
 "Price" : 2500,
 "Properties" : "Finesse, légère"
  },
"Coutille": {
 "Name" : "Coutille",
 "OV" : "Glaive",
 "Category": "W_MEL",
 "Damage" : "1d10",
 "DamageType" : " Tranchant",
 "Weight" : 3000,
 "Price" : 2000,
 "Properties" : "Lourde, allonge, à deux mains"
  },
"Épée à deux mains": {
 "Name" : "Épée à deux mains",
 "OV" : "Greatsword",
 "Category": "W_MEL",
 "Damage" : "2d6",
 "DamageType" : " Tranchant",
 "Weight" : 3000,
 "Price" : 5000,
 "Properties" : "Lourde, à deux mains"
  },
"Épée courte": {
 "Name" : "Épée courte",
 "OV" : "Shortsword",
 "Category": "W_MEL",
 "Damage" : "1d6",
 "DamageType" : " Perforant",
 "Weight" : 1000,
 "Price" : 1000,
 "Properties" : "Finesse, légère"
  },
"Épée longue": {
 "Name" : "Épée longue",
 "OV" : "Longsword",
 "Category": "W_MEL",
 "Damage" : "1d8",
 "DamageType" : " Tranchant",
 "Weight" : 1500,
 "Price" : 1500,
 "Properties" : "Polyvalente (1d10)"
  },
"Fléau d'armes": {
 "Name" : "Fléau d'armes",
 "OV" : "Flail",
 "Category": "W_MEL",
 "Damage" : "1d8",
 "DamageType" : " Contondant",
 "Weight" : 1000,
 "Price" : 1000,
 "Properties" : "-"
  },
"Fouet": {
 "Name" : "Fouet",
 "OV" : "Whip",
 "Category": "W_MEL",
 "Damage" : "1d4",
 "DamageType" : " Tranchant",
 "Weight" : 1500,
 "Price" : 200,
 "Properties" : "Finesse, allonge"
  },
"Hache à deux mains": {
 "Name" : "Hache à deux mains",
 "OV" : "Greataxe",
 "Category": "W_MEL",
 "Damage" : "1d12",
 "DamageType" : " Tranchant",
 "Weight" : 3500,
 "Price" : 3000,
 "Properties" : "Lourde, à deux mains"
  },
"Hache d'armes": {
 "Name" : "Hache d'armes",
 "OV" : "Battleaxe",
 "Category": "W_MEL",
 "Damage" : "1d8",
 "DamageType" : " Tranchant",
 "Weight" : 2000,
 "Price" : 1000,
 "Properties" : "Polyvalente (1d10)"
  },
"Hallebarde": {
 "Name" : "Hallebarde",
 "OV" : "Halberd",
 "Category": "W_MEL",
 "Damage" : "1d10",
 "DamageType" : " Tranchant",
 "Weight" : 3000,
 "Price" : 2000,
 "Properties" : "Lourde, allonge, à deux mains"
  },
"Lance d’arçon": {
 "Name" : "Lance d’arçon",
 "OV" : "Lance",
 "Category": "W_MEL",
 "Damage" : "1d12",
 "DamageType" : " Perforant",
 "Weight" : 3000,
 "Price" : 1000,
 "Properties" : "Allonge, spécial"
  },
"Maillet": {
 "Name" : "Maillet",
 "OV" : "Maul",
 "Category": "W_MEL",
 "Damage" : "2d6",
 "DamageType" : " Contondant",
 "Weight" : 5000,
 "Price" : 1000,
 "Properties" : "Lourde, à deux mains"
  },
"Marteau de guerre": {
 "Name" : "Marteau de guerre",
 "OV" : "Warhammer",
 "Category": "W_MEL",
 "Damage" : "1d8",
 "DamageType" : " Contondant",
 "Weight" : 1000,
 "Price" : 1500,
 "Properties" : "Polyvalente (1d10)"
  },
"Morgenstern": {
 "Name" : "Morgenstern",
 "OV" : "Morningstar",
 "Category": "W_MEL",
 "Damage" : "1d8",
 "DamageType" : " Perforant",
 "Weight" : 2000,
 "Price" : 1500,
 "Properties" : "-"
  },
"Pic de guerre": {
 "Name" : "Pic de guerre",
 "OV" : "War pick",
 "Category": "W_MEL",
 "Damage" : "1d8",
 "DamageType" : " Perforant",
 "Weight" : 1000,
 "Price" : 500,
 "Properties" : "-"
  },
"Pique": {
 "Name" : "Pique",
 "OV" : "Pike",
 "Category": "W_MEL",
 "Damage" : "1d10",
 "DamageType" : " Perforant",
 "Weight" : 9000,
 "Price" : 500,
 "Properties" : "Lourde, allonge, à deux mains"
  },
"Rapière": {
 "Name" : "Rapière",
 "OV" : "Rapier",
 "Category": "W_MEL",
 "Damage" : "1d8",
 "DamageType" : " Perforant",
 "Weight" : 1000,
 "Price" : 2500,
 "Properties" : "Finesse"
  },
"Trident": {
 "Name" : "Trident",
 "OV" : "Trident",
 "Category": "W_MEL",
 "Damage" : "1d6",
 "DamageType" : " Perforant",
 "Weight" : 2000,
 "Price" : 500,
 "Properties" : "Lancer (portée 6 m/18 m), polyvalente (1d8)"
  },
"Arbalète de poing": {
 "Name" : "Arbalète de poing",
 "OV" : "Crossbow, hand",
 "Category": "W_DIS",
 "Damage" : "1d6",
 "DamageType" : " Perforant",
 "Weight" : 1500,
 "Price" : 7500,
 "Properties" : "Munitions (portée 9 m/36 m), légère, chargement"
  },
"Arbalète lourde": {
 "Name" : "Arbalète lourde",
 "OV" : "Crossbow, heavy",
 "Category": "W_DIS",
 "Damage" : "1d10",
 "DamageType" : " Perforant",
 "Weight" : 9000,
 "Price" : 5000,
 "Properties" : "Munitions (portée 30 m/120 m), lourde, chargement, à deux mains"
  },
"Arc long": {
 "Name" : "Arc long",
 "OV" : "Longbow",
 "Category": "W_DIS",
 "Damage" : "1d8",
 "DamageType" :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"DamageType" : " Perforant",
 "Weight" : 500,
 "Price" : 1000,
 "Properties" : "Munitions (portée 7,50 m/30 m), chargement"
  }
 }</v>
      </c>
    </row>
    <row r="38" spans="1:3">
      <c r="C38" t="str">
        <f>"{
"&amp;CONCATENATE(C1,",
",C2,",
",C3,",
",C4,",
",C5,",
",C6,",
",C7,",
",C8,",
",C9,",
",C10,",
",C11,",
",C12,",
",C13,",
",C14,",
",C15,",
",C16,",
",C17,",
",C18,",
",C19,",
",C20,",
",C21,",
",C22,",
",C23,",
",C24,",
",C25,",
",C26,",
",C27,",
",C28,",
",C29,",
",C30,",
",C31,",
",C32,",
",C33,",
",C34,",
",C35,",
",C36)&amp;"
}"</f>
        <v>{
"Alignments" : {
 "1_LB":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
 },
"Capacities" : {
 "ARTIFICER-1" : {
"Capacities":["Incantations", "Bricolage magique"],
"MinorSpellsNb": 2,
"Locations": {
"1":2,
"2":0,
"3":0,
"4":0,
"5":0},
"Impregnation": 0,
"ImpregnatedObjects": 0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v>
      </c>
    </row>
  </sheetData>
  <sortState xmlns:xlrd2="http://schemas.microsoft.com/office/spreadsheetml/2017/richdata2" ref="A1:C34">
    <sortCondition ref="A1:A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5"/>
  <sheetViews>
    <sheetView workbookViewId="0">
      <pane xSplit="2" ySplit="1" topLeftCell="C11" activePane="bottomRight" state="frozenSplit"/>
      <selection pane="topRight" activeCell="D1" sqref="D1"/>
      <selection pane="bottomLeft" activeCell="A12" sqref="A12"/>
      <selection pane="bottomRight" activeCell="C28" sqref="C28"/>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3" width="28.85546875" customWidth="1"/>
    <col min="14" max="16" width="19.5703125" customWidth="1"/>
    <col min="17" max="17" width="30.28515625" customWidth="1"/>
    <col min="18" max="18" width="10" customWidth="1"/>
  </cols>
  <sheetData>
    <row r="1" spans="1:19">
      <c r="A1" s="45" t="s">
        <v>302</v>
      </c>
      <c r="B1" s="46" t="s">
        <v>312</v>
      </c>
      <c r="C1" s="47" t="s">
        <v>301</v>
      </c>
      <c r="D1" s="47" t="s">
        <v>15</v>
      </c>
      <c r="E1" s="47" t="s">
        <v>11</v>
      </c>
      <c r="F1" s="47" t="s">
        <v>10</v>
      </c>
      <c r="G1" s="47" t="s">
        <v>6</v>
      </c>
      <c r="H1" s="47" t="s">
        <v>7</v>
      </c>
      <c r="I1" s="47" t="s">
        <v>8</v>
      </c>
      <c r="J1" s="47" t="s">
        <v>9</v>
      </c>
      <c r="K1" s="47" t="s">
        <v>300</v>
      </c>
      <c r="L1" s="108" t="s">
        <v>1878</v>
      </c>
      <c r="M1" s="108" t="s">
        <v>955</v>
      </c>
      <c r="N1" s="108" t="s">
        <v>2613</v>
      </c>
      <c r="O1" s="108" t="s">
        <v>2656</v>
      </c>
      <c r="P1" s="108" t="s">
        <v>3993</v>
      </c>
      <c r="Q1" s="150" t="s">
        <v>2551</v>
      </c>
      <c r="R1" s="62"/>
    </row>
    <row r="2" spans="1:19">
      <c r="A2" s="68" t="s">
        <v>230</v>
      </c>
      <c r="B2" s="98" t="s">
        <v>305</v>
      </c>
      <c r="C2" s="66" t="s">
        <v>303</v>
      </c>
      <c r="D2" s="66" t="s">
        <v>304</v>
      </c>
      <c r="E2" s="99">
        <v>0</v>
      </c>
      <c r="F2" s="67">
        <v>0</v>
      </c>
      <c r="G2" s="67">
        <v>0</v>
      </c>
      <c r="H2" s="67">
        <v>1</v>
      </c>
      <c r="I2" s="67">
        <v>0</v>
      </c>
      <c r="J2" s="67">
        <v>0</v>
      </c>
      <c r="K2" s="178">
        <v>0</v>
      </c>
      <c r="L2" s="172" t="s">
        <v>2665</v>
      </c>
      <c r="M2" s="172"/>
      <c r="N2" s="172"/>
      <c r="O2" s="172"/>
      <c r="P2" s="172" t="s">
        <v>3995</v>
      </c>
      <c r="Q2" s="110"/>
      <c r="R2" s="58"/>
      <c r="S2" t="str">
        <f>""""&amp;B2&amp;""": {
 ""Id"" : """&amp;B2&amp;""",
 ""Race"" : """&amp;A2&amp;""",
 ""Name"" : """&amp;C2&amp;""",
 ""OV"" : """&amp;D2&amp;""",
 ""Strength"" : "&amp;E2&amp;",
 ""Constitution"" : "&amp;F2&amp;",
 ""Dexterity"" : "&amp;G2&amp;",
 ""Intelligence"" : "&amp;H2&amp;",
 ""Wisdom"" : "&amp;I2&amp;",
 ""Charisma"" : "&amp;J2&amp;",
 ""Speed"" : "&amp;SUBSTITUTE(K2,",",".")&amp;",
 ""Languages"" : ["&amp;L2&amp;"],
 ""Resistances"" : ["&amp;SUBSTITUTE(N2,",",".")&amp;"],
""Skills"" : ["&amp;M2&amp;"], ""SaveAdvantages"" : ["&amp;SUBSTITUTE(O2,",",".")&amp;"],
""Weapons"" : ["&amp;P2&amp;"], ""ArmorCategories"" : ["&amp;Q2&amp;"]
  }"</f>
        <v>"HIGH_ELF":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v>
      </c>
    </row>
    <row r="3" spans="1:19">
      <c r="A3" s="48" t="s">
        <v>230</v>
      </c>
      <c r="B3" s="55" t="s">
        <v>308</v>
      </c>
      <c r="C3" s="56" t="s">
        <v>306</v>
      </c>
      <c r="D3" s="56" t="s">
        <v>307</v>
      </c>
      <c r="E3" s="57">
        <v>0</v>
      </c>
      <c r="F3" s="58">
        <v>0</v>
      </c>
      <c r="G3" s="58">
        <v>0</v>
      </c>
      <c r="H3" s="58">
        <v>0</v>
      </c>
      <c r="I3" s="58">
        <v>1</v>
      </c>
      <c r="J3" s="58">
        <v>0</v>
      </c>
      <c r="K3" s="173">
        <v>10.5</v>
      </c>
      <c r="L3" s="173" t="s">
        <v>2665</v>
      </c>
      <c r="M3" s="173"/>
      <c r="N3" s="173"/>
      <c r="O3" s="173"/>
      <c r="P3" s="173" t="s">
        <v>3995</v>
      </c>
      <c r="Q3" s="111"/>
      <c r="R3" s="58"/>
      <c r="S3" t="str">
        <f t="shared" ref="S3:S59" si="0">""""&amp;B3&amp;""": {
 ""Id"" : """&amp;B3&amp;""",
 ""Race"" : """&amp;A3&amp;""",
 ""Name"" : """&amp;C3&amp;""",
 ""OV"" : """&amp;D3&amp;""",
 ""Strength"" : "&amp;E3&amp;",
 ""Constitution"" : "&amp;F3&amp;",
 ""Dexterity"" : "&amp;G3&amp;",
 ""Intelligence"" : "&amp;H3&amp;",
 ""Wisdom"" : "&amp;I3&amp;",
 ""Charisma"" : "&amp;J3&amp;",
 ""Speed"" : "&amp;SUBSTITUTE(K3,",",".")&amp;",
 ""Languages"" : ["&amp;L3&amp;"],
 ""Resistances"" : ["&amp;SUBSTITUTE(N3,",",".")&amp;"],
""Skills"" : ["&amp;M3&amp;"], ""SaveAdvantages"" : ["&amp;SUBSTITUTE(O3,",",".")&amp;"],
""Weapons"" : ["&amp;P3&amp;"], ""ArmorCategories"" : ["&amp;Q3&amp;"]
  }"</f>
        <v>"WOODEN_ELF":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v>
      </c>
    </row>
    <row r="4" spans="1:19">
      <c r="A4" s="53" t="s">
        <v>230</v>
      </c>
      <c r="B4" s="54" t="s">
        <v>311</v>
      </c>
      <c r="C4" s="26" t="s">
        <v>310</v>
      </c>
      <c r="D4" s="26" t="s">
        <v>309</v>
      </c>
      <c r="E4" s="25">
        <v>0</v>
      </c>
      <c r="F4" s="23">
        <v>0</v>
      </c>
      <c r="G4" s="23">
        <v>0</v>
      </c>
      <c r="H4" s="23">
        <v>0</v>
      </c>
      <c r="I4" s="23">
        <v>0</v>
      </c>
      <c r="J4" s="23">
        <v>0</v>
      </c>
      <c r="K4" s="172">
        <v>0</v>
      </c>
      <c r="L4" s="172" t="s">
        <v>2665</v>
      </c>
      <c r="M4" s="172"/>
      <c r="N4" s="172"/>
      <c r="O4" s="172"/>
      <c r="P4" s="172" t="s">
        <v>3994</v>
      </c>
      <c r="Q4" s="110"/>
      <c r="R4" s="58"/>
      <c r="S4" t="str">
        <f t="shared" si="0"/>
        <v>"DROW": {
 "Id" : "DROW",
 "Race" : "ELF",
 "Name" : "Elfe noir",
 "OV" : "Drow",
 "Strength" : 0,
 "Constitution" : 0,
 "Dexterity" : 0,
 "Intelligence" : 0,
 "Wisdom" : 0,
 "Charisma" : 0,
 "Speed" : 0,
 "Languages" : ["COMMON"],
 "Resistances" : [],
"Skills" : [], "SaveAdvantages" : [],
"Weapons" : ["Rapière", "Épée courte", "Arbalète de poing"], "ArmorCategories" : []
  }</v>
      </c>
    </row>
    <row r="5" spans="1:19">
      <c r="A5" s="75" t="s">
        <v>230</v>
      </c>
      <c r="B5" s="55" t="s">
        <v>5808</v>
      </c>
      <c r="C5" s="56" t="s">
        <v>5809</v>
      </c>
      <c r="D5" s="56" t="s">
        <v>5809</v>
      </c>
      <c r="E5" s="57">
        <v>0</v>
      </c>
      <c r="F5" s="58">
        <v>0</v>
      </c>
      <c r="G5" s="58">
        <v>0</v>
      </c>
      <c r="H5" s="58">
        <v>0</v>
      </c>
      <c r="I5" s="58">
        <v>0</v>
      </c>
      <c r="J5" s="58">
        <v>0</v>
      </c>
      <c r="K5" s="173">
        <v>0</v>
      </c>
      <c r="L5" s="173" t="s">
        <v>5819</v>
      </c>
      <c r="M5" s="173"/>
      <c r="N5" s="173"/>
      <c r="O5" s="173"/>
      <c r="P5" s="173"/>
      <c r="Q5" s="159"/>
      <c r="R5" s="58"/>
      <c r="S5" t="str">
        <f t="shared" si="0"/>
        <v>"AVARIEL": {
 "Id" : "AVARIEL",
 "Race" : "ELF",
 "Name" : "Avariel",
 "OV" : "Avariel",
 "Strength" : 0,
 "Constitution" : 0,
 "Dexterity" : 0,
 "Intelligence" : 0,
 "Wisdom" : 0,
 "Charisma" : 0,
 "Speed" : 0,
 "Languages" : ["COMMON", "AIR"],
 "Resistances" : [],
"Skills" : [], "SaveAdvantages" : [],
"Weapons" : [], "ArmorCategories" : []
  }</v>
      </c>
    </row>
    <row r="6" spans="1:19">
      <c r="A6" s="53" t="s">
        <v>230</v>
      </c>
      <c r="B6" s="54" t="s">
        <v>5810</v>
      </c>
      <c r="C6" s="26" t="s">
        <v>5811</v>
      </c>
      <c r="D6" s="26" t="s">
        <v>5811</v>
      </c>
      <c r="E6" s="25">
        <v>1</v>
      </c>
      <c r="F6" s="23">
        <v>0</v>
      </c>
      <c r="G6" s="23">
        <v>0</v>
      </c>
      <c r="H6" s="23">
        <v>0</v>
      </c>
      <c r="I6" s="23">
        <v>0</v>
      </c>
      <c r="J6" s="23">
        <v>0</v>
      </c>
      <c r="K6" s="172">
        <v>0</v>
      </c>
      <c r="L6" s="172" t="s">
        <v>5820</v>
      </c>
      <c r="M6" s="172"/>
      <c r="N6" s="172"/>
      <c r="O6" s="172"/>
      <c r="P6" s="172" t="s">
        <v>5821</v>
      </c>
      <c r="Q6" s="110"/>
      <c r="R6" s="58"/>
      <c r="S6" t="str">
        <f t="shared" si="0"/>
        <v>"GRUGACH": {
 "Id" : "GRUGACH",
 "Race" : "ELF",
 "Name" : "Grugach",
 "OV" : "Grugach",
 "Strength" : 1,
 "Constitution" : 0,
 "Dexterity" : 0,
 "Intelligence" : 0,
 "Wisdom" : 0,
 "Charisma" : 0,
 "Speed" : 0,
 "Languages" : ["SILVAN"],
 "Resistances" : [],
"Skills" : [], "SaveAdvantages" : [],
"Weapons" : ["Lance", "Arc court", "Arc long", "Filet"], "ArmorCategories" : []
  }</v>
      </c>
    </row>
    <row r="7" spans="1:19">
      <c r="A7" s="75" t="s">
        <v>230</v>
      </c>
      <c r="B7" s="55" t="s">
        <v>5822</v>
      </c>
      <c r="C7" s="56" t="s">
        <v>5813</v>
      </c>
      <c r="D7" s="56" t="s">
        <v>5814</v>
      </c>
      <c r="E7" s="57">
        <v>0</v>
      </c>
      <c r="F7" s="58">
        <v>1</v>
      </c>
      <c r="G7" s="58">
        <v>0</v>
      </c>
      <c r="H7" s="58">
        <v>0</v>
      </c>
      <c r="I7" s="58">
        <v>0</v>
      </c>
      <c r="J7" s="58">
        <v>0</v>
      </c>
      <c r="K7" s="173">
        <v>0</v>
      </c>
      <c r="L7" s="173" t="s">
        <v>5818</v>
      </c>
      <c r="M7" s="173"/>
      <c r="N7" s="173"/>
      <c r="O7" s="173"/>
      <c r="P7" s="173" t="s">
        <v>5898</v>
      </c>
      <c r="Q7" s="159"/>
      <c r="R7" s="58"/>
      <c r="S7" t="str">
        <f t="shared" si="0"/>
        <v>"AQUATIC_ELF":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v>
      </c>
    </row>
    <row r="8" spans="1:19">
      <c r="A8" s="53" t="s">
        <v>230</v>
      </c>
      <c r="B8" s="54" t="s">
        <v>5824</v>
      </c>
      <c r="C8" s="26" t="s">
        <v>5823</v>
      </c>
      <c r="D8" s="26" t="s">
        <v>5823</v>
      </c>
      <c r="E8" s="25">
        <v>0</v>
      </c>
      <c r="F8" s="23">
        <v>0</v>
      </c>
      <c r="G8" s="23">
        <v>0</v>
      </c>
      <c r="H8" s="23">
        <v>0</v>
      </c>
      <c r="I8" s="23">
        <v>0</v>
      </c>
      <c r="J8" s="23">
        <v>1</v>
      </c>
      <c r="K8" s="172">
        <v>0</v>
      </c>
      <c r="L8" s="172" t="s">
        <v>2665</v>
      </c>
      <c r="M8" s="172"/>
      <c r="N8" s="172"/>
      <c r="O8" s="172"/>
      <c r="P8" s="172"/>
      <c r="Q8" s="110"/>
      <c r="R8" s="58"/>
      <c r="S8" t="str">
        <f t="shared" si="0"/>
        <v>"SHADAR_KAI": {
 "Id" : "SHADAR_KAI",
 "Race" : "ELF",
 "Name" : "Shadar-kai",
 "OV" : "Shadar-kai",
 "Strength" : 0,
 "Constitution" : 0,
 "Dexterity" : 0,
 "Intelligence" : 0,
 "Wisdom" : 0,
 "Charisma" : 1,
 "Speed" : 0,
 "Languages" : ["COMMON"],
 "Resistances" : [],
"Skills" : [], "SaveAdvantages" : [],
"Weapons" : [], "ArmorCategories" : []
  }</v>
      </c>
    </row>
    <row r="9" spans="1:19">
      <c r="A9" s="48" t="s">
        <v>4</v>
      </c>
      <c r="B9" s="18" t="s">
        <v>315</v>
      </c>
      <c r="C9" s="41" t="s">
        <v>313</v>
      </c>
      <c r="D9" s="41" t="s">
        <v>314</v>
      </c>
      <c r="E9" s="24">
        <v>0</v>
      </c>
      <c r="F9" s="22">
        <v>0</v>
      </c>
      <c r="G9" s="22">
        <v>0</v>
      </c>
      <c r="H9" s="22">
        <v>0</v>
      </c>
      <c r="I9" s="22">
        <v>0</v>
      </c>
      <c r="J9" s="22">
        <v>1</v>
      </c>
      <c r="K9" s="174">
        <v>0</v>
      </c>
      <c r="L9" s="174"/>
      <c r="M9" s="174"/>
      <c r="N9" s="174"/>
      <c r="O9" s="174"/>
      <c r="P9" s="174"/>
      <c r="Q9" s="111"/>
      <c r="R9" s="58"/>
      <c r="S9" t="str">
        <f t="shared" si="0"/>
        <v>"LIGHT_FOOT_HALFELIN": {
 "Id" : "LIGHT_FOOT_HALFELIN",
 "Race" : "HALFELIN",
 "Name" : "Halfelin pied-léger",
 "OV" : "Light-foot Halfelin",
 "Strength" : 0,
 "Constitution" : 0,
 "Dexterity" : 0,
 "Intelligence" : 0,
 "Wisdom" : 0,
 "Charisma" : 1,
 "Speed" : 0,
 "Languages" : [],
 "Resistances" : [],
"Skills" : [], "SaveAdvantages" : [],
"Weapons" : [], "ArmorCategories" : []
  }</v>
      </c>
    </row>
    <row r="10" spans="1:19">
      <c r="A10" s="53" t="s">
        <v>4</v>
      </c>
      <c r="B10" s="54" t="s">
        <v>316</v>
      </c>
      <c r="C10" s="26" t="s">
        <v>317</v>
      </c>
      <c r="D10" s="26" t="s">
        <v>318</v>
      </c>
      <c r="E10" s="63">
        <v>0</v>
      </c>
      <c r="F10" s="64">
        <v>1</v>
      </c>
      <c r="G10" s="64">
        <v>0</v>
      </c>
      <c r="H10" s="64">
        <v>0</v>
      </c>
      <c r="I10" s="64">
        <v>0</v>
      </c>
      <c r="J10" s="64">
        <v>0</v>
      </c>
      <c r="K10" s="175">
        <v>0</v>
      </c>
      <c r="L10" s="175"/>
      <c r="M10" s="175"/>
      <c r="N10" s="175" t="s">
        <v>2693</v>
      </c>
      <c r="O10" s="175" t="s">
        <v>2693</v>
      </c>
      <c r="P10" s="175"/>
      <c r="Q10" s="110"/>
      <c r="R10" s="58"/>
      <c r="S10" t="str">
        <f t="shared" si="0"/>
        <v>"ROBUST_HALFELIN": {
 "Id" : "ROBUST_HALFELIN",
 "Race" : "HALFELIN",
 "Name" : "Halfelin Robuste",
 "OV" : "Robust Halfelin",
 "Strength" : 0,
 "Constitution" : 1,
 "Dexterity" : 0,
 "Intelligence" : 0,
 "Wisdom" : 0,
 "Charisma" : 0,
 "Speed" : 0,
 "Languages" : [],
 "Resistances" : ["POISON"],
"Skills" : [], "SaveAdvantages" : ["POISON"],
"Weapons" : [], "ArmorCategories" : []
  }</v>
      </c>
    </row>
    <row r="11" spans="1:19">
      <c r="A11" s="48" t="s">
        <v>232</v>
      </c>
      <c r="B11" s="18" t="s">
        <v>326</v>
      </c>
      <c r="C11" s="41" t="s">
        <v>319</v>
      </c>
      <c r="D11" s="41" t="s">
        <v>323</v>
      </c>
      <c r="E11" s="24">
        <v>0</v>
      </c>
      <c r="F11" s="22">
        <v>0</v>
      </c>
      <c r="G11" s="22">
        <v>0</v>
      </c>
      <c r="H11" s="22">
        <v>0</v>
      </c>
      <c r="I11" s="22">
        <v>1</v>
      </c>
      <c r="J11" s="22">
        <v>0</v>
      </c>
      <c r="K11" s="174">
        <v>0</v>
      </c>
      <c r="L11" s="174"/>
      <c r="M11" s="174"/>
      <c r="N11" s="174"/>
      <c r="O11" s="174"/>
      <c r="P11" s="174"/>
      <c r="Q11" s="111"/>
      <c r="R11" s="58"/>
      <c r="S11" t="str">
        <f t="shared" si="0"/>
        <v>"HILLS_DWARF": {
 "Id" : "HILLS_DWARF",
 "Race" : "DWARF",
 "Name" : "Nain des collines",
 "OV" : "Hills Dwarf",
 "Strength" : 0,
 "Constitution" : 0,
 "Dexterity" : 0,
 "Intelligence" : 0,
 "Wisdom" : 1,
 "Charisma" : 0,
 "Speed" : 0,
 "Languages" : [],
 "Resistances" : [],
"Skills" : [], "SaveAdvantages" : [],
"Weapons" : [], "ArmorCategories" : []
  }</v>
      </c>
    </row>
    <row r="12" spans="1:19">
      <c r="A12" s="53" t="s">
        <v>232</v>
      </c>
      <c r="B12" s="54" t="s">
        <v>325</v>
      </c>
      <c r="C12" s="26" t="s">
        <v>320</v>
      </c>
      <c r="D12" s="26" t="s">
        <v>324</v>
      </c>
      <c r="E12" s="63">
        <v>2</v>
      </c>
      <c r="F12" s="64">
        <v>0</v>
      </c>
      <c r="G12" s="64">
        <v>0</v>
      </c>
      <c r="H12" s="64">
        <v>0</v>
      </c>
      <c r="I12" s="64">
        <v>0</v>
      </c>
      <c r="J12" s="64">
        <v>0</v>
      </c>
      <c r="K12" s="175">
        <v>0</v>
      </c>
      <c r="L12" s="175"/>
      <c r="M12" s="175"/>
      <c r="N12" s="175"/>
      <c r="O12" s="175"/>
      <c r="P12" s="175"/>
      <c r="Q12" s="110" t="s">
        <v>2645</v>
      </c>
      <c r="R12" s="58"/>
      <c r="S12" t="str">
        <f t="shared" si="0"/>
        <v>"MONTAINS_DWARF": {
 "Id" : "MONTAINS_DWARF",
 "Race" : "DWARF",
 "Name" : "Nain des montagnes",
 "OV" : "Mountains Dwarf",
 "Strength" : 2,
 "Constitution" : 0,
 "Dexterity" : 0,
 "Intelligence" : 0,
 "Wisdom" : 0,
 "Charisma" : 0,
 "Speed" : 0,
 "Languages" : [],
 "Resistances" : [],
"Skills" : [], "SaveAdvantages" : [],
"Weapons" : [], "ArmorCategories" : ["1_LIGHT", "2_MID"]
  }</v>
      </c>
    </row>
    <row r="13" spans="1:19">
      <c r="A13" s="48" t="s">
        <v>5</v>
      </c>
      <c r="B13" s="18" t="s">
        <v>327</v>
      </c>
      <c r="C13" s="41" t="s">
        <v>321</v>
      </c>
      <c r="D13" s="41" t="s">
        <v>322</v>
      </c>
      <c r="E13" s="24">
        <v>0</v>
      </c>
      <c r="F13" s="22">
        <v>0</v>
      </c>
      <c r="G13" s="22">
        <v>1</v>
      </c>
      <c r="H13" s="22">
        <v>0</v>
      </c>
      <c r="I13" s="22">
        <v>0</v>
      </c>
      <c r="J13" s="22">
        <v>0</v>
      </c>
      <c r="K13" s="174">
        <v>0</v>
      </c>
      <c r="L13" s="174"/>
      <c r="M13" s="174"/>
      <c r="N13" s="174"/>
      <c r="O13" s="174"/>
      <c r="P13" s="174"/>
      <c r="Q13" s="111"/>
      <c r="R13" s="58"/>
      <c r="S13" t="str">
        <f t="shared" si="0"/>
        <v>"FORESTS_GNOME": {
 "Id" : "FORESTS_GNOME",
 "Race" : "GNOME",
 "Name" : "Gnome des forêts",
 "OV" : "Forests Gnome",
 "Strength" : 0,
 "Constitution" : 0,
 "Dexterity" : 1,
 "Intelligence" : 0,
 "Wisdom" : 0,
 "Charisma" : 0,
 "Speed" : 0,
 "Languages" : [],
 "Resistances" : [],
"Skills" : [], "SaveAdvantages" : [],
"Weapons" : [], "ArmorCategories" : []
  }</v>
      </c>
    </row>
    <row r="14" spans="1:19">
      <c r="A14" s="53" t="s">
        <v>5</v>
      </c>
      <c r="B14" s="54" t="s">
        <v>330</v>
      </c>
      <c r="C14" s="26" t="s">
        <v>328</v>
      </c>
      <c r="D14" s="26" t="s">
        <v>329</v>
      </c>
      <c r="E14" s="63">
        <v>1</v>
      </c>
      <c r="F14" s="64">
        <v>0</v>
      </c>
      <c r="G14" s="64">
        <v>0</v>
      </c>
      <c r="H14" s="64">
        <v>0</v>
      </c>
      <c r="I14" s="64">
        <v>0</v>
      </c>
      <c r="J14" s="64">
        <v>0</v>
      </c>
      <c r="K14" s="175">
        <v>0</v>
      </c>
      <c r="L14" s="175"/>
      <c r="M14" s="175"/>
      <c r="N14" s="175"/>
      <c r="O14" s="175"/>
      <c r="P14" s="175"/>
      <c r="Q14" s="110"/>
      <c r="R14" s="58"/>
      <c r="S14" t="str">
        <f t="shared" si="0"/>
        <v>"ROCKS_GNOME": {
 "Id" : "ROCKS_GNOME",
 "Race" : "GNOME",
 "Name" : "Gnome des roches",
 "OV" : "Rocks Gnome",
 "Strength" : 1,
 "Constitution" : 0,
 "Dexterity" : 0,
 "Intelligence" : 0,
 "Wisdom" : 0,
 "Charisma" : 0,
 "Speed" : 0,
 "Languages" : [],
 "Resistances" : [],
"Skills" : [], "SaveAdvantages" : [],
"Weapons" : [], "ArmorCategories" : []
  }</v>
      </c>
    </row>
    <row r="15" spans="1:19">
      <c r="A15" s="75" t="s">
        <v>5</v>
      </c>
      <c r="B15" s="55" t="s">
        <v>239</v>
      </c>
      <c r="C15" s="56" t="s">
        <v>273</v>
      </c>
      <c r="D15" s="56" t="s">
        <v>263</v>
      </c>
      <c r="E15" s="57">
        <v>0</v>
      </c>
      <c r="F15" s="58">
        <v>0</v>
      </c>
      <c r="G15" s="58">
        <v>1</v>
      </c>
      <c r="H15" s="58">
        <v>0</v>
      </c>
      <c r="I15" s="58">
        <v>0</v>
      </c>
      <c r="J15" s="58">
        <v>0</v>
      </c>
      <c r="K15" s="173">
        <v>0</v>
      </c>
      <c r="L15" s="173" t="s">
        <v>2690</v>
      </c>
      <c r="M15" s="173"/>
      <c r="N15" s="173"/>
      <c r="O15" s="173"/>
      <c r="P15" s="173"/>
      <c r="Q15" s="159"/>
      <c r="R15" s="58"/>
      <c r="S15" t="str">
        <f t="shared" si="0"/>
        <v>"DEPTH_GNOME": {
 "Id" : "DEPTH_GNOME",
 "Race" : "GNOME",
 "Name" : "Gnome des profondeurs *",
 "OV" : "Depth Gnome",
 "Strength" : 0,
 "Constitution" : 0,
 "Dexterity" : 1,
 "Intelligence" : 0,
 "Wisdom" : 0,
 "Charisma" : 0,
 "Speed" : 0,
 "Languages" : ["DEPTH_COMMON"],
 "Resistances" : [],
"Skills" : [], "SaveAdvantages" : [],
"Weapons" : [], "ArmorCategories" : []
  }</v>
      </c>
    </row>
    <row r="16" spans="1:19">
      <c r="A16" s="53" t="s">
        <v>238</v>
      </c>
      <c r="B16" s="54" t="s">
        <v>331</v>
      </c>
      <c r="C16" s="26" t="s">
        <v>332</v>
      </c>
      <c r="D16" s="26" t="s">
        <v>333</v>
      </c>
      <c r="E16" s="63">
        <v>0</v>
      </c>
      <c r="F16" s="64">
        <v>0</v>
      </c>
      <c r="G16" s="64">
        <v>1</v>
      </c>
      <c r="H16" s="64">
        <v>0</v>
      </c>
      <c r="I16" s="64">
        <v>0</v>
      </c>
      <c r="J16" s="64">
        <v>0</v>
      </c>
      <c r="K16" s="175">
        <v>0</v>
      </c>
      <c r="L16" s="175"/>
      <c r="M16" s="175"/>
      <c r="N16" s="175"/>
      <c r="O16" s="175"/>
      <c r="P16" s="175"/>
      <c r="Q16" s="110"/>
      <c r="R16" s="58"/>
      <c r="S16" t="str">
        <f t="shared" si="0"/>
        <v>"AIR_GENASI": {
 "Id" : "AIR_GENASI",
 "Race" : "GENASI",
 "Name" : "Génasi de l'air",
 "OV" : "Air Genasi",
 "Strength" : 0,
 "Constitution" : 0,
 "Dexterity" : 1,
 "Intelligence" : 0,
 "Wisdom" : 0,
 "Charisma" : 0,
 "Speed" : 0,
 "Languages" : [],
 "Resistances" : [],
"Skills" : [], "SaveAdvantages" : [],
"Weapons" : [], "ArmorCategories" : []
  }</v>
      </c>
    </row>
    <row r="17" spans="1:19">
      <c r="A17" s="75" t="s">
        <v>238</v>
      </c>
      <c r="B17" s="55" t="s">
        <v>334</v>
      </c>
      <c r="C17" s="56" t="s">
        <v>160</v>
      </c>
      <c r="D17" s="56" t="s">
        <v>335</v>
      </c>
      <c r="E17" s="57">
        <v>1</v>
      </c>
      <c r="F17" s="58">
        <v>0</v>
      </c>
      <c r="G17" s="58">
        <v>0</v>
      </c>
      <c r="H17" s="58">
        <v>0</v>
      </c>
      <c r="I17" s="58">
        <v>0</v>
      </c>
      <c r="J17" s="58">
        <v>0</v>
      </c>
      <c r="K17" s="173">
        <v>0</v>
      </c>
      <c r="L17" s="173"/>
      <c r="M17" s="173"/>
      <c r="N17" s="173"/>
      <c r="O17" s="173"/>
      <c r="P17" s="173"/>
      <c r="Q17" s="159"/>
      <c r="R17" s="58"/>
      <c r="S17" t="str">
        <f t="shared" si="0"/>
        <v>"EARTH_GENASI": {
 "Id" : "EARTH_GENASI",
 "Race" : "GENASI",
 "Name" : "Génasi de la terre",
 "OV" : "Earth Genasi",
 "Strength" : 1,
 "Constitution" : 0,
 "Dexterity" : 0,
 "Intelligence" : 0,
 "Wisdom" : 0,
 "Charisma" : 0,
 "Speed" : 0,
 "Languages" : [],
 "Resistances" : [],
"Skills" : [], "SaveAdvantages" : [],
"Weapons" : [], "ArmorCategories" : []
  }</v>
      </c>
    </row>
    <row r="18" spans="1:19">
      <c r="A18" s="53" t="s">
        <v>238</v>
      </c>
      <c r="B18" s="54" t="s">
        <v>336</v>
      </c>
      <c r="C18" s="26" t="s">
        <v>161</v>
      </c>
      <c r="D18" s="26" t="s">
        <v>337</v>
      </c>
      <c r="E18" s="63">
        <v>0</v>
      </c>
      <c r="F18" s="64">
        <v>0</v>
      </c>
      <c r="G18" s="64">
        <v>0</v>
      </c>
      <c r="H18" s="64">
        <v>1</v>
      </c>
      <c r="I18" s="64">
        <v>0</v>
      </c>
      <c r="J18" s="64">
        <v>0</v>
      </c>
      <c r="K18" s="175">
        <v>0</v>
      </c>
      <c r="L18" s="175"/>
      <c r="M18" s="175"/>
      <c r="N18" s="175" t="s">
        <v>2696</v>
      </c>
      <c r="O18" s="175"/>
      <c r="P18" s="175"/>
      <c r="Q18" s="101"/>
      <c r="R18" s="58"/>
      <c r="S18" t="str">
        <f t="shared" si="0"/>
        <v>"FIRE_GENASI": {
 "Id" : "FIRE_GENASI",
 "Race" : "GENASI",
 "Name" : "Génasi du feu",
 "OV" : "Fire Genasi",
 "Strength" : 0,
 "Constitution" : 0,
 "Dexterity" : 0,
 "Intelligence" : 1,
 "Wisdom" : 0,
 "Charisma" : 0,
 "Speed" : 0,
 "Languages" : [],
 "Resistances" : ["FIRE"],
"Skills" : [], "SaveAdvantages" : [],
"Weapons" : [], "ArmorCategories" : []
  }</v>
      </c>
    </row>
    <row r="19" spans="1:19">
      <c r="A19" s="75" t="s">
        <v>238</v>
      </c>
      <c r="B19" s="55" t="s">
        <v>338</v>
      </c>
      <c r="C19" s="56" t="s">
        <v>339</v>
      </c>
      <c r="D19" s="56" t="s">
        <v>340</v>
      </c>
      <c r="E19" s="57">
        <v>0</v>
      </c>
      <c r="F19" s="58">
        <v>0</v>
      </c>
      <c r="G19" s="58">
        <v>0</v>
      </c>
      <c r="H19" s="58">
        <v>0</v>
      </c>
      <c r="I19" s="58">
        <v>1</v>
      </c>
      <c r="J19" s="58">
        <v>0</v>
      </c>
      <c r="K19" s="173">
        <v>0</v>
      </c>
      <c r="L19" s="173"/>
      <c r="M19" s="173"/>
      <c r="N19" s="173" t="s">
        <v>2697</v>
      </c>
      <c r="O19" s="173"/>
      <c r="P19" s="173"/>
      <c r="Q19" s="100"/>
      <c r="R19" s="58"/>
      <c r="S19" t="str">
        <f t="shared" si="0"/>
        <v>"WATER_GENASI": {
 "Id" : "WATER_GENASI",
 "Race" : "GENASI",
 "Name" : "Génasi de l'eau",
 "OV" : "Water Genasi",
 "Strength" : 0,
 "Constitution" : 0,
 "Dexterity" : 0,
 "Intelligence" : 0,
 "Wisdom" : 1,
 "Charisma" : 0,
 "Speed" : 0,
 "Languages" : [],
 "Resistances" : ["ACID"],
"Skills" : [], "SaveAdvantages" : [],
"Weapons" : [], "ArmorCategories" : []
  }</v>
      </c>
    </row>
    <row r="20" spans="1:19">
      <c r="A20" s="53" t="s">
        <v>231</v>
      </c>
      <c r="B20" s="54" t="s">
        <v>231</v>
      </c>
      <c r="C20" s="26" t="s">
        <v>265</v>
      </c>
      <c r="D20" s="26" t="s">
        <v>254</v>
      </c>
      <c r="E20" s="25">
        <v>0</v>
      </c>
      <c r="F20" s="23">
        <v>0</v>
      </c>
      <c r="G20" s="23">
        <v>0</v>
      </c>
      <c r="H20" s="23">
        <v>0</v>
      </c>
      <c r="I20" s="23">
        <v>0</v>
      </c>
      <c r="J20" s="23">
        <v>0</v>
      </c>
      <c r="K20" s="176">
        <v>0</v>
      </c>
      <c r="L20" s="176"/>
      <c r="M20" s="176"/>
      <c r="N20" s="176"/>
      <c r="O20" s="176"/>
      <c r="P20" s="176"/>
      <c r="Q20" s="107"/>
      <c r="S20" t="str">
        <f t="shared" si="0"/>
        <v>"HUMAN": {
 "Id" : "HUMAN",
 "Race" : "HUMAN",
 "Name" : "Humain",
 "OV" : "Human",
 "Strength" : 0,
 "Constitution" : 0,
 "Dexterity" : 0,
 "Intelligence" : 0,
 "Wisdom" : 0,
 "Charisma" : 0,
 "Speed" : 0,
 "Languages" : [],
 "Resistances" : [],
"Skills" : [], "SaveAdvantages" : [],
"Weapons" : [], "ArmorCategories" : []
  }</v>
      </c>
    </row>
    <row r="21" spans="1:19">
      <c r="A21" s="75" t="s">
        <v>233</v>
      </c>
      <c r="B21" s="55" t="s">
        <v>233</v>
      </c>
      <c r="C21" s="56" t="s">
        <v>267</v>
      </c>
      <c r="D21" s="56" t="s">
        <v>256</v>
      </c>
      <c r="E21" s="57">
        <v>0</v>
      </c>
      <c r="F21" s="58">
        <v>0</v>
      </c>
      <c r="G21" s="58">
        <v>0</v>
      </c>
      <c r="H21" s="58">
        <v>0</v>
      </c>
      <c r="I21" s="58">
        <v>0</v>
      </c>
      <c r="J21" s="58">
        <v>0</v>
      </c>
      <c r="K21" s="177">
        <v>0</v>
      </c>
      <c r="L21" s="177"/>
      <c r="M21" s="177"/>
      <c r="N21" s="177"/>
      <c r="O21" s="177"/>
      <c r="P21" s="177"/>
      <c r="Q21" s="100"/>
      <c r="S21" t="str">
        <f t="shared" si="0"/>
        <v>"HALF_ELF": {
 "Id" : "HALF_ELF",
 "Race" : "HALF_ELF",
 "Name" : "Demi-Elfe",
 "OV" : "Half-Elf",
 "Strength" : 0,
 "Constitution" : 0,
 "Dexterity" : 0,
 "Intelligence" : 0,
 "Wisdom" : 0,
 "Charisma" : 0,
 "Speed" : 0,
 "Languages" : [],
 "Resistances" : [],
"Skills" : [], "SaveAdvantages" : [],
"Weapons" : [], "ArmorCategories" : []
  }</v>
      </c>
    </row>
    <row r="22" spans="1:19">
      <c r="A22" s="53" t="s">
        <v>234</v>
      </c>
      <c r="B22" s="54" t="s">
        <v>234</v>
      </c>
      <c r="C22" s="26" t="s">
        <v>268</v>
      </c>
      <c r="D22" s="26" t="s">
        <v>257</v>
      </c>
      <c r="E22" s="63">
        <v>0</v>
      </c>
      <c r="F22" s="64">
        <v>0</v>
      </c>
      <c r="G22" s="64">
        <v>0</v>
      </c>
      <c r="H22" s="64">
        <v>0</v>
      </c>
      <c r="I22" s="64">
        <v>0</v>
      </c>
      <c r="J22" s="64">
        <v>0</v>
      </c>
      <c r="K22" s="176">
        <v>0</v>
      </c>
      <c r="L22" s="176"/>
      <c r="M22" s="176"/>
      <c r="N22" s="176"/>
      <c r="O22" s="176"/>
      <c r="P22" s="176"/>
      <c r="Q22" s="107"/>
      <c r="S22" t="str">
        <f t="shared" si="0"/>
        <v>"HALF_ORC": {
 "Id" : "HALF_ORC",
 "Race" : "HALF_ORC",
 "Name" : "Demi-Orque",
 "OV" : "Half-Orc",
 "Strength" : 0,
 "Constitution" : 0,
 "Dexterity" : 0,
 "Intelligence" : 0,
 "Wisdom" : 0,
 "Charisma" : 0,
 "Speed" : 0,
 "Languages" : [],
 "Resistances" : [],
"Skills" : [], "SaveAdvantages" : [],
"Weapons" : [], "ArmorCategories" : []
  }</v>
      </c>
    </row>
    <row r="23" spans="1:19" ht="17.25" customHeight="1">
      <c r="A23" s="75" t="s">
        <v>235</v>
      </c>
      <c r="B23" s="55" t="s">
        <v>2615</v>
      </c>
      <c r="C23" s="56" t="s">
        <v>2625</v>
      </c>
      <c r="D23" s="56" t="s">
        <v>2634</v>
      </c>
      <c r="E23" s="57">
        <v>0</v>
      </c>
      <c r="F23" s="58">
        <v>0</v>
      </c>
      <c r="G23" s="58">
        <v>0</v>
      </c>
      <c r="H23" s="58">
        <v>0</v>
      </c>
      <c r="I23" s="58">
        <v>0</v>
      </c>
      <c r="J23" s="58">
        <v>0</v>
      </c>
      <c r="K23" s="177">
        <v>0</v>
      </c>
      <c r="L23" s="177"/>
      <c r="M23" s="177"/>
      <c r="N23" s="177" t="s">
        <v>2644</v>
      </c>
      <c r="O23" s="177"/>
      <c r="P23" s="177"/>
      <c r="Q23" s="100"/>
      <c r="S23" t="str">
        <f t="shared" si="0"/>
        <v>"WHITE_DRAGON":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v>
      </c>
    </row>
    <row r="24" spans="1:19" ht="15.75" customHeight="1">
      <c r="A24" s="53" t="s">
        <v>235</v>
      </c>
      <c r="B24" s="54" t="s">
        <v>2616</v>
      </c>
      <c r="C24" s="26" t="s">
        <v>2626</v>
      </c>
      <c r="D24" s="26" t="s">
        <v>2635</v>
      </c>
      <c r="E24" s="63">
        <v>0</v>
      </c>
      <c r="F24" s="64">
        <v>0</v>
      </c>
      <c r="G24" s="64">
        <v>0</v>
      </c>
      <c r="H24" s="64">
        <v>0</v>
      </c>
      <c r="I24" s="64">
        <v>0</v>
      </c>
      <c r="J24" s="64">
        <v>0</v>
      </c>
      <c r="K24" s="176">
        <v>0</v>
      </c>
      <c r="L24" s="176"/>
      <c r="M24" s="176"/>
      <c r="N24" s="176" t="s">
        <v>2698</v>
      </c>
      <c r="O24" s="176"/>
      <c r="P24" s="176"/>
      <c r="Q24" s="107"/>
      <c r="S24" t="str">
        <f t="shared" si="0"/>
        <v>"BLUE_DRAGON":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v>
      </c>
    </row>
    <row r="25" spans="1:19">
      <c r="A25" s="75" t="s">
        <v>235</v>
      </c>
      <c r="B25" s="55" t="s">
        <v>2617</v>
      </c>
      <c r="C25" s="56" t="s">
        <v>2627</v>
      </c>
      <c r="D25" s="56" t="s">
        <v>2636</v>
      </c>
      <c r="E25" s="57">
        <v>0</v>
      </c>
      <c r="F25" s="58">
        <v>0</v>
      </c>
      <c r="G25" s="58">
        <v>0</v>
      </c>
      <c r="H25" s="58">
        <v>0</v>
      </c>
      <c r="I25" s="58">
        <v>0</v>
      </c>
      <c r="J25" s="58">
        <v>0</v>
      </c>
      <c r="K25" s="177">
        <v>0</v>
      </c>
      <c r="L25" s="177"/>
      <c r="M25" s="177"/>
      <c r="N25" s="177" t="s">
        <v>2697</v>
      </c>
      <c r="O25" s="177"/>
      <c r="P25" s="177"/>
      <c r="Q25" s="100"/>
      <c r="S25" t="str">
        <f t="shared" si="0"/>
        <v>"BLACK_DRAGON":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v>
      </c>
    </row>
    <row r="26" spans="1:19">
      <c r="A26" s="53" t="s">
        <v>235</v>
      </c>
      <c r="B26" s="54" t="s">
        <v>2618</v>
      </c>
      <c r="C26" s="26" t="s">
        <v>2628</v>
      </c>
      <c r="D26" s="26" t="s">
        <v>2637</v>
      </c>
      <c r="E26" s="63">
        <v>0</v>
      </c>
      <c r="F26" s="64">
        <v>0</v>
      </c>
      <c r="G26" s="64">
        <v>0</v>
      </c>
      <c r="H26" s="64">
        <v>0</v>
      </c>
      <c r="I26" s="64">
        <v>0</v>
      </c>
      <c r="J26" s="64">
        <v>0</v>
      </c>
      <c r="K26" s="176">
        <v>0</v>
      </c>
      <c r="L26" s="176"/>
      <c r="M26" s="176"/>
      <c r="N26" s="176" t="s">
        <v>2696</v>
      </c>
      <c r="O26" s="176"/>
      <c r="P26" s="176"/>
      <c r="Q26" s="107"/>
      <c r="S26" t="str">
        <f t="shared" si="0"/>
        <v>"RED_DRAGON":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v>
      </c>
    </row>
    <row r="27" spans="1:19">
      <c r="A27" s="75" t="s">
        <v>235</v>
      </c>
      <c r="B27" s="55" t="s">
        <v>2619</v>
      </c>
      <c r="C27" s="56" t="s">
        <v>2629</v>
      </c>
      <c r="D27" s="56" t="s">
        <v>2638</v>
      </c>
      <c r="E27" s="57">
        <v>0</v>
      </c>
      <c r="F27" s="58">
        <v>0</v>
      </c>
      <c r="G27" s="58">
        <v>0</v>
      </c>
      <c r="H27" s="58">
        <v>0</v>
      </c>
      <c r="I27" s="58">
        <v>0</v>
      </c>
      <c r="J27" s="58">
        <v>0</v>
      </c>
      <c r="K27" s="177">
        <v>0</v>
      </c>
      <c r="L27" s="177"/>
      <c r="M27" s="177"/>
      <c r="N27" s="177" t="s">
        <v>2693</v>
      </c>
      <c r="O27" s="177"/>
      <c r="P27" s="177"/>
      <c r="Q27" s="100"/>
      <c r="S27" t="str">
        <f t="shared" si="0"/>
        <v>"GREEN_DRAGON":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v>
      </c>
    </row>
    <row r="28" spans="1:19">
      <c r="A28" s="53" t="s">
        <v>235</v>
      </c>
      <c r="B28" s="54" t="s">
        <v>2620</v>
      </c>
      <c r="C28" s="26" t="s">
        <v>5947</v>
      </c>
      <c r="D28" s="26" t="s">
        <v>2639</v>
      </c>
      <c r="E28" s="63">
        <v>0</v>
      </c>
      <c r="F28" s="64">
        <v>0</v>
      </c>
      <c r="G28" s="64">
        <v>0</v>
      </c>
      <c r="H28" s="64">
        <v>0</v>
      </c>
      <c r="I28" s="64">
        <v>0</v>
      </c>
      <c r="J28" s="64">
        <v>0</v>
      </c>
      <c r="K28" s="176">
        <v>0</v>
      </c>
      <c r="L28" s="176"/>
      <c r="M28" s="176"/>
      <c r="N28" s="176" t="s">
        <v>2696</v>
      </c>
      <c r="O28" s="176"/>
      <c r="P28" s="176"/>
      <c r="Q28" s="107"/>
      <c r="S28" t="str">
        <f t="shared" si="0"/>
        <v>"BRASS_DRAGON":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v>
      </c>
    </row>
    <row r="29" spans="1:19">
      <c r="A29" s="75" t="s">
        <v>235</v>
      </c>
      <c r="B29" s="55" t="s">
        <v>2621</v>
      </c>
      <c r="C29" s="56" t="s">
        <v>2630</v>
      </c>
      <c r="D29" s="56" t="s">
        <v>2640</v>
      </c>
      <c r="E29" s="57">
        <v>0</v>
      </c>
      <c r="F29" s="58">
        <v>0</v>
      </c>
      <c r="G29" s="58">
        <v>0</v>
      </c>
      <c r="H29" s="58">
        <v>0</v>
      </c>
      <c r="I29" s="58">
        <v>0</v>
      </c>
      <c r="J29" s="58">
        <v>0</v>
      </c>
      <c r="K29" s="177">
        <v>0</v>
      </c>
      <c r="L29" s="177"/>
      <c r="M29" s="177"/>
      <c r="N29" s="177" t="s">
        <v>2699</v>
      </c>
      <c r="O29" s="177"/>
      <c r="P29" s="177"/>
      <c r="Q29" s="100"/>
      <c r="S29" t="str">
        <f t="shared" si="0"/>
        <v>"SILVER_DRAGON":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v>
      </c>
    </row>
    <row r="30" spans="1:19">
      <c r="A30" s="53" t="s">
        <v>235</v>
      </c>
      <c r="B30" s="54" t="s">
        <v>2622</v>
      </c>
      <c r="C30" s="26" t="s">
        <v>2631</v>
      </c>
      <c r="D30" s="26" t="s">
        <v>2641</v>
      </c>
      <c r="E30" s="63">
        <v>0</v>
      </c>
      <c r="F30" s="64">
        <v>0</v>
      </c>
      <c r="G30" s="64">
        <v>0</v>
      </c>
      <c r="H30" s="64">
        <v>0</v>
      </c>
      <c r="I30" s="64">
        <v>0</v>
      </c>
      <c r="J30" s="64">
        <v>0</v>
      </c>
      <c r="K30" s="176">
        <v>0</v>
      </c>
      <c r="L30" s="176"/>
      <c r="M30" s="176"/>
      <c r="N30" s="176" t="s">
        <v>2698</v>
      </c>
      <c r="O30" s="176"/>
      <c r="P30" s="176"/>
      <c r="Q30" s="107"/>
      <c r="S30" t="str">
        <f t="shared" si="0"/>
        <v>"BRONZE_DRAGON":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v>
      </c>
    </row>
    <row r="31" spans="1:19">
      <c r="A31" s="75" t="s">
        <v>235</v>
      </c>
      <c r="B31" s="55" t="s">
        <v>2623</v>
      </c>
      <c r="C31" s="56" t="s">
        <v>2632</v>
      </c>
      <c r="D31" s="56" t="s">
        <v>2642</v>
      </c>
      <c r="E31" s="57">
        <v>0</v>
      </c>
      <c r="F31" s="58">
        <v>0</v>
      </c>
      <c r="G31" s="58">
        <v>0</v>
      </c>
      <c r="H31" s="58">
        <v>0</v>
      </c>
      <c r="I31" s="58">
        <v>0</v>
      </c>
      <c r="J31" s="58">
        <v>0</v>
      </c>
      <c r="K31" s="177">
        <v>0</v>
      </c>
      <c r="L31" s="177"/>
      <c r="M31" s="177"/>
      <c r="N31" s="177" t="s">
        <v>2697</v>
      </c>
      <c r="O31" s="177"/>
      <c r="P31" s="177"/>
      <c r="Q31" s="100"/>
      <c r="S31" t="str">
        <f t="shared" si="0"/>
        <v>"COPPER_DRAGON":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v>
      </c>
    </row>
    <row r="32" spans="1:19">
      <c r="A32" s="53" t="s">
        <v>235</v>
      </c>
      <c r="B32" s="54" t="s">
        <v>2624</v>
      </c>
      <c r="C32" s="26" t="s">
        <v>2633</v>
      </c>
      <c r="D32" s="26" t="s">
        <v>2643</v>
      </c>
      <c r="E32" s="63">
        <v>0</v>
      </c>
      <c r="F32" s="64">
        <v>0</v>
      </c>
      <c r="G32" s="64">
        <v>0</v>
      </c>
      <c r="H32" s="64">
        <v>0</v>
      </c>
      <c r="I32" s="64">
        <v>0</v>
      </c>
      <c r="J32" s="64">
        <v>0</v>
      </c>
      <c r="K32" s="176">
        <v>0</v>
      </c>
      <c r="L32" s="176"/>
      <c r="M32" s="176"/>
      <c r="N32" s="176" t="s">
        <v>2696</v>
      </c>
      <c r="O32" s="176"/>
      <c r="P32" s="176"/>
      <c r="Q32" s="107"/>
      <c r="S32" t="str">
        <f t="shared" si="0"/>
        <v>"GOLD_DRAGON":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v>
      </c>
    </row>
    <row r="33" spans="1:19">
      <c r="A33" s="75" t="s">
        <v>236</v>
      </c>
      <c r="B33" s="55" t="s">
        <v>5943</v>
      </c>
      <c r="C33" s="56" t="s">
        <v>270</v>
      </c>
      <c r="D33" s="56" t="s">
        <v>260</v>
      </c>
      <c r="E33" s="57">
        <v>0</v>
      </c>
      <c r="F33" s="58">
        <v>0</v>
      </c>
      <c r="G33" s="58">
        <v>0</v>
      </c>
      <c r="H33" s="58">
        <v>1</v>
      </c>
      <c r="I33" s="58">
        <v>0</v>
      </c>
      <c r="J33" s="58">
        <v>2</v>
      </c>
      <c r="K33" s="177">
        <v>0</v>
      </c>
      <c r="L33" s="177"/>
      <c r="M33" s="177"/>
      <c r="N33" s="177" t="s">
        <v>2696</v>
      </c>
      <c r="O33" s="177"/>
      <c r="P33" s="177"/>
      <c r="Q33" s="100"/>
      <c r="S33" t="str">
        <f t="shared" si="0"/>
        <v>"TIEFFLING_0": {
 "Id" : "TIEFFLING_0",
 "Race" : "TIEFFLING",
 "Name" : "Tieffelin",
 "OV" : "Tieffling",
 "Strength" : 0,
 "Constitution" : 0,
 "Dexterity" : 0,
 "Intelligence" : 1,
 "Wisdom" : 0,
 "Charisma" : 2,
 "Speed" : 0,
 "Languages" : [],
 "Resistances" : ["FIRE"],
"Skills" : [], "SaveAdvantages" : [],
"Weapons" : [], "ArmorCategories" : []
  }</v>
      </c>
    </row>
    <row r="34" spans="1:19">
      <c r="A34" s="53" t="s">
        <v>236</v>
      </c>
      <c r="B34" s="54" t="s">
        <v>5837</v>
      </c>
      <c r="C34" s="26" t="s">
        <v>5835</v>
      </c>
      <c r="D34" s="26" t="s">
        <v>5836</v>
      </c>
      <c r="E34" s="63">
        <v>0</v>
      </c>
      <c r="F34" s="64">
        <v>0</v>
      </c>
      <c r="G34" s="64">
        <v>0</v>
      </c>
      <c r="H34" s="64">
        <v>0</v>
      </c>
      <c r="I34" s="64">
        <v>0</v>
      </c>
      <c r="J34" s="64">
        <v>0</v>
      </c>
      <c r="K34" s="176">
        <v>0</v>
      </c>
      <c r="L34" s="176"/>
      <c r="M34" s="176"/>
      <c r="N34" s="176"/>
      <c r="O34" s="176"/>
      <c r="P34" s="176"/>
      <c r="Q34" s="107"/>
      <c r="S34" t="str">
        <f t="shared" si="0"/>
        <v>"TIEFFLING_ASMODEUS":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v>
      </c>
    </row>
    <row r="35" spans="1:19">
      <c r="A35" s="75" t="s">
        <v>236</v>
      </c>
      <c r="B35" s="55" t="s">
        <v>5840</v>
      </c>
      <c r="C35" s="56" t="s">
        <v>5838</v>
      </c>
      <c r="D35" s="56" t="s">
        <v>5839</v>
      </c>
      <c r="E35" s="57">
        <v>0</v>
      </c>
      <c r="F35" s="58">
        <v>0</v>
      </c>
      <c r="G35" s="58">
        <v>0</v>
      </c>
      <c r="H35" s="58">
        <v>1</v>
      </c>
      <c r="I35" s="58">
        <v>0</v>
      </c>
      <c r="J35" s="58">
        <v>2</v>
      </c>
      <c r="K35" s="58">
        <v>0</v>
      </c>
      <c r="L35" s="177"/>
      <c r="M35" s="177"/>
      <c r="N35" s="177"/>
      <c r="O35" s="177"/>
      <c r="P35" s="177"/>
      <c r="Q35" s="347"/>
      <c r="S35" t="str">
        <f t="shared" si="0"/>
        <v>"TIEFFLING_BEELZEBUB":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v>
      </c>
    </row>
    <row r="36" spans="1:19">
      <c r="A36" s="53" t="s">
        <v>236</v>
      </c>
      <c r="B36" s="54" t="s">
        <v>5843</v>
      </c>
      <c r="C36" s="26" t="s">
        <v>5841</v>
      </c>
      <c r="D36" s="26" t="s">
        <v>5842</v>
      </c>
      <c r="E36" s="63">
        <v>0</v>
      </c>
      <c r="F36" s="64">
        <v>0</v>
      </c>
      <c r="G36" s="64">
        <v>1</v>
      </c>
      <c r="H36" s="64">
        <v>0</v>
      </c>
      <c r="I36" s="64">
        <v>0</v>
      </c>
      <c r="J36" s="64">
        <v>2</v>
      </c>
      <c r="K36" s="176">
        <v>0</v>
      </c>
      <c r="L36" s="176"/>
      <c r="M36" s="176"/>
      <c r="N36" s="176"/>
      <c r="O36" s="176"/>
      <c r="P36" s="176"/>
      <c r="Q36" s="107"/>
      <c r="S36" t="str">
        <f t="shared" si="0"/>
        <v>"TIEFFLING_DISPAT":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v>
      </c>
    </row>
    <row r="37" spans="1:19">
      <c r="A37" s="75" t="s">
        <v>236</v>
      </c>
      <c r="B37" s="55" t="s">
        <v>5846</v>
      </c>
      <c r="C37" s="56" t="s">
        <v>5844</v>
      </c>
      <c r="D37" s="56" t="s">
        <v>5845</v>
      </c>
      <c r="E37" s="57">
        <v>0</v>
      </c>
      <c r="F37" s="58">
        <v>0</v>
      </c>
      <c r="G37" s="58">
        <v>0</v>
      </c>
      <c r="H37" s="58">
        <v>0</v>
      </c>
      <c r="I37" s="58">
        <v>1</v>
      </c>
      <c r="J37" s="58">
        <v>2</v>
      </c>
      <c r="K37" s="176">
        <v>0</v>
      </c>
      <c r="L37" s="177"/>
      <c r="M37" s="177"/>
      <c r="N37" s="177"/>
      <c r="O37" s="177"/>
      <c r="P37" s="177"/>
      <c r="Q37" s="347"/>
      <c r="S37" t="str">
        <f t="shared" si="0"/>
        <v>"TIEFFLING_FIERNA":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v>
      </c>
    </row>
    <row r="38" spans="1:19">
      <c r="A38" s="53" t="s">
        <v>236</v>
      </c>
      <c r="B38" s="54" t="s">
        <v>5849</v>
      </c>
      <c r="C38" s="26" t="s">
        <v>5847</v>
      </c>
      <c r="D38" s="26" t="s">
        <v>5848</v>
      </c>
      <c r="E38" s="63">
        <v>0</v>
      </c>
      <c r="F38" s="64">
        <v>0</v>
      </c>
      <c r="G38" s="64">
        <v>1</v>
      </c>
      <c r="H38" s="64">
        <v>0</v>
      </c>
      <c r="I38" s="64">
        <v>0</v>
      </c>
      <c r="J38" s="64">
        <v>2</v>
      </c>
      <c r="K38" s="176">
        <v>0</v>
      </c>
      <c r="L38" s="176"/>
      <c r="M38" s="176"/>
      <c r="N38" s="176"/>
      <c r="O38" s="176"/>
      <c r="P38" s="176"/>
      <c r="Q38" s="107"/>
      <c r="S38" t="str">
        <f t="shared" si="0"/>
        <v>"TIEFFLING_GLASYA":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v>
      </c>
    </row>
    <row r="39" spans="1:19">
      <c r="A39" s="75" t="s">
        <v>236</v>
      </c>
      <c r="B39" s="55" t="s">
        <v>5852</v>
      </c>
      <c r="C39" s="56" t="s">
        <v>5851</v>
      </c>
      <c r="D39" s="56" t="s">
        <v>5850</v>
      </c>
      <c r="E39" s="57">
        <v>0</v>
      </c>
      <c r="F39" s="58">
        <v>1</v>
      </c>
      <c r="G39" s="58">
        <v>0</v>
      </c>
      <c r="H39" s="58">
        <v>0</v>
      </c>
      <c r="I39" s="58">
        <v>0</v>
      </c>
      <c r="J39" s="58">
        <v>2</v>
      </c>
      <c r="K39" s="176">
        <v>0</v>
      </c>
      <c r="L39" s="177"/>
      <c r="M39" s="177"/>
      <c r="N39" s="177"/>
      <c r="O39" s="177"/>
      <c r="P39" s="177"/>
      <c r="Q39" s="347"/>
      <c r="S39" t="str">
        <f t="shared" si="0"/>
        <v>"TIEFFLING_LEVISTUS":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v>
      </c>
    </row>
    <row r="40" spans="1:19">
      <c r="A40" s="53" t="s">
        <v>236</v>
      </c>
      <c r="B40" s="54" t="s">
        <v>5855</v>
      </c>
      <c r="C40" s="26" t="s">
        <v>5853</v>
      </c>
      <c r="D40" s="26" t="s">
        <v>5854</v>
      </c>
      <c r="E40" s="63">
        <v>0</v>
      </c>
      <c r="F40" s="64">
        <v>0</v>
      </c>
      <c r="G40" s="64">
        <v>0</v>
      </c>
      <c r="H40" s="64">
        <v>1</v>
      </c>
      <c r="I40" s="64">
        <v>0</v>
      </c>
      <c r="J40" s="64">
        <v>2</v>
      </c>
      <c r="K40" s="176">
        <v>0</v>
      </c>
      <c r="L40" s="176"/>
      <c r="M40" s="176"/>
      <c r="N40" s="176"/>
      <c r="O40" s="176"/>
      <c r="P40" s="176"/>
      <c r="Q40" s="107"/>
      <c r="S40" t="str">
        <f t="shared" si="0"/>
        <v>"TIEFFLING_MAMMON":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v>
      </c>
    </row>
    <row r="41" spans="1:19">
      <c r="A41" s="75" t="s">
        <v>236</v>
      </c>
      <c r="B41" s="55" t="s">
        <v>5858</v>
      </c>
      <c r="C41" s="56" t="s">
        <v>5856</v>
      </c>
      <c r="D41" s="56" t="s">
        <v>5857</v>
      </c>
      <c r="E41" s="57">
        <v>0</v>
      </c>
      <c r="F41" s="58">
        <v>0</v>
      </c>
      <c r="G41" s="58">
        <v>0</v>
      </c>
      <c r="H41" s="58">
        <v>1</v>
      </c>
      <c r="I41" s="58">
        <v>0</v>
      </c>
      <c r="J41" s="58">
        <v>2</v>
      </c>
      <c r="K41" s="176">
        <v>0</v>
      </c>
      <c r="L41" s="177"/>
      <c r="M41" s="177"/>
      <c r="N41" s="177"/>
      <c r="O41" s="177"/>
      <c r="P41" s="177"/>
      <c r="Q41" s="347"/>
      <c r="S41" t="str">
        <f t="shared" si="0"/>
        <v>"TIEFFLING_MEPHISTOPHELES":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v>
      </c>
    </row>
    <row r="42" spans="1:19">
      <c r="A42" s="53" t="s">
        <v>236</v>
      </c>
      <c r="B42" s="54" t="s">
        <v>5861</v>
      </c>
      <c r="C42" s="26" t="s">
        <v>5860</v>
      </c>
      <c r="D42" s="26" t="s">
        <v>5859</v>
      </c>
      <c r="E42" s="63">
        <v>1</v>
      </c>
      <c r="F42" s="64">
        <v>0</v>
      </c>
      <c r="G42" s="64">
        <v>0</v>
      </c>
      <c r="H42" s="64">
        <v>0</v>
      </c>
      <c r="I42" s="64">
        <v>0</v>
      </c>
      <c r="J42" s="64">
        <v>2</v>
      </c>
      <c r="K42" s="176">
        <v>0</v>
      </c>
      <c r="L42" s="176"/>
      <c r="M42" s="176"/>
      <c r="N42" s="176"/>
      <c r="O42" s="176"/>
      <c r="P42" s="176"/>
      <c r="Q42" s="107"/>
      <c r="S42" t="str">
        <f t="shared" si="0"/>
        <v>"TIEFFLING_ZARIEL":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v>
      </c>
    </row>
    <row r="43" spans="1:19">
      <c r="A43" s="75" t="s">
        <v>5673</v>
      </c>
      <c r="B43" s="55" t="s">
        <v>5908</v>
      </c>
      <c r="C43" s="56" t="s">
        <v>5900</v>
      </c>
      <c r="D43" s="56" t="s">
        <v>5901</v>
      </c>
      <c r="E43" s="57">
        <v>0</v>
      </c>
      <c r="F43" s="58">
        <v>2</v>
      </c>
      <c r="G43" s="58">
        <v>0</v>
      </c>
      <c r="H43" s="58">
        <v>0</v>
      </c>
      <c r="I43" s="58">
        <v>0</v>
      </c>
      <c r="J43" s="58">
        <v>0</v>
      </c>
      <c r="K43" s="177">
        <v>0</v>
      </c>
      <c r="L43" s="177"/>
      <c r="M43" s="177" t="s">
        <v>5912</v>
      </c>
      <c r="N43" s="177"/>
      <c r="O43" s="177"/>
      <c r="P43" s="177"/>
      <c r="Q43" s="100"/>
      <c r="S43" t="str">
        <f t="shared" si="0"/>
        <v>"FERAL_ANIMAL_SKIN":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v>
      </c>
    </row>
    <row r="44" spans="1:19">
      <c r="A44" s="53" t="s">
        <v>5673</v>
      </c>
      <c r="B44" s="54" t="s">
        <v>5909</v>
      </c>
      <c r="C44" s="26" t="s">
        <v>5902</v>
      </c>
      <c r="D44" s="26" t="s">
        <v>5903</v>
      </c>
      <c r="E44" s="63">
        <v>2</v>
      </c>
      <c r="F44" s="64">
        <v>0</v>
      </c>
      <c r="G44" s="64">
        <v>0</v>
      </c>
      <c r="H44" s="64">
        <v>0</v>
      </c>
      <c r="I44" s="64">
        <v>0</v>
      </c>
      <c r="J44" s="64">
        <v>0</v>
      </c>
      <c r="K44" s="176">
        <v>0</v>
      </c>
      <c r="L44" s="176"/>
      <c r="M44" s="176" t="s">
        <v>5913</v>
      </c>
      <c r="N44" s="176"/>
      <c r="O44" s="176"/>
      <c r="P44" s="176"/>
      <c r="Q44" s="107"/>
      <c r="S44" t="str">
        <f t="shared" si="0"/>
        <v>"FERAL_LONG_TEETH":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v>
      </c>
    </row>
    <row r="45" spans="1:19">
      <c r="A45" s="75" t="s">
        <v>5673</v>
      </c>
      <c r="B45" s="55" t="s">
        <v>5910</v>
      </c>
      <c r="C45" s="56" t="s">
        <v>5904</v>
      </c>
      <c r="D45" s="56" t="s">
        <v>5905</v>
      </c>
      <c r="E45" s="57">
        <v>0</v>
      </c>
      <c r="F45" s="58">
        <v>0</v>
      </c>
      <c r="G45" s="58">
        <v>1</v>
      </c>
      <c r="H45" s="58">
        <v>0</v>
      </c>
      <c r="I45" s="58">
        <v>0</v>
      </c>
      <c r="J45" s="58">
        <v>1</v>
      </c>
      <c r="K45" s="177">
        <v>10.5</v>
      </c>
      <c r="L45" s="177"/>
      <c r="M45" s="177" t="s">
        <v>5944</v>
      </c>
      <c r="N45" s="177"/>
      <c r="O45" s="177"/>
      <c r="P45" s="177"/>
      <c r="Q45" s="100"/>
      <c r="S45" t="str">
        <f t="shared" si="0"/>
        <v>"FERAL_LONG_STRIDE":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v>
      </c>
    </row>
    <row r="46" spans="1:19">
      <c r="A46" s="53" t="s">
        <v>5673</v>
      </c>
      <c r="B46" s="54" t="s">
        <v>5911</v>
      </c>
      <c r="C46" s="26" t="s">
        <v>5906</v>
      </c>
      <c r="D46" s="26" t="s">
        <v>5907</v>
      </c>
      <c r="E46" s="63">
        <v>0</v>
      </c>
      <c r="F46" s="64">
        <v>0</v>
      </c>
      <c r="G46" s="64">
        <v>0</v>
      </c>
      <c r="H46" s="64">
        <v>0</v>
      </c>
      <c r="I46" s="64">
        <v>2</v>
      </c>
      <c r="J46" s="64">
        <v>0</v>
      </c>
      <c r="K46" s="176">
        <v>0</v>
      </c>
      <c r="L46" s="176"/>
      <c r="M46" s="176" t="s">
        <v>5914</v>
      </c>
      <c r="N46" s="176"/>
      <c r="O46" s="176"/>
      <c r="P46" s="176"/>
      <c r="Q46" s="107"/>
      <c r="S46" t="str">
        <f t="shared" si="0"/>
        <v>"FERAL_WILD_HUNT": {
 "Id" : "FERAL_WILD_HUNT",
 "Race" : "FERAL",
 "Name" : "Féral - Traque sauvage",
 "OV" : "Feral - Wild hunt",
 "Strength" : 0,
 "Constitution" : 0,
 "Dexterity" : 0,
 "Intelligence" : 0,
 "Wisdom" : 2,
 "Charisma" : 0,
 "Speed" : 0,
 "Languages" : [],
 "Resistances" : [],
"Skills" : ["Survie"], "SaveAdvantages" : [],
"Weapons" : [], "ArmorCategories" : []
  }</v>
      </c>
    </row>
    <row r="47" spans="1:19">
      <c r="A47" s="75" t="s">
        <v>5800</v>
      </c>
      <c r="B47" s="55" t="s">
        <v>5925</v>
      </c>
      <c r="C47" s="56" t="s">
        <v>5915</v>
      </c>
      <c r="D47" s="56" t="s">
        <v>5916</v>
      </c>
      <c r="E47" s="57">
        <v>0</v>
      </c>
      <c r="F47" s="58">
        <v>2</v>
      </c>
      <c r="G47" s="58">
        <v>0</v>
      </c>
      <c r="H47" s="58">
        <v>0</v>
      </c>
      <c r="I47" s="58">
        <v>0</v>
      </c>
      <c r="J47" s="58">
        <v>0</v>
      </c>
      <c r="K47" s="177">
        <v>0</v>
      </c>
      <c r="L47" s="177"/>
      <c r="M47" s="177" t="s">
        <v>5912</v>
      </c>
      <c r="N47" s="177"/>
      <c r="O47" s="177"/>
      <c r="P47" s="177"/>
      <c r="Q47" s="100"/>
      <c r="S47" t="str">
        <f t="shared" si="0"/>
        <v>"LEONID_HARD_SKIN": {
 "Id" : "LEONID_HARD_SKIN",
 "Race" : "LEONID",
 "Name" : "Léonide - Peau dur",
 "OV" : "Leonid - Hard skin",
 "Strength" : 0,
 "Constitution" : 2,
 "Dexterity" : 0,
 "Intelligence" : 0,
 "Wisdom" : 0,
 "Charisma" : 0,
 "Speed" : 0,
 "Languages" : [],
 "Resistances" : [],
"Skills" : ["Athlétisme"], "SaveAdvantages" : [],
"Weapons" : [], "ArmorCategories" : []
  }</v>
      </c>
    </row>
    <row r="48" spans="1:19">
      <c r="A48" s="53" t="s">
        <v>5800</v>
      </c>
      <c r="B48" s="54" t="s">
        <v>5924</v>
      </c>
      <c r="C48" s="26" t="s">
        <v>5919</v>
      </c>
      <c r="D48" s="26" t="s">
        <v>5920</v>
      </c>
      <c r="E48" s="63">
        <v>2</v>
      </c>
      <c r="F48" s="64">
        <v>0</v>
      </c>
      <c r="G48" s="64">
        <v>0</v>
      </c>
      <c r="H48" s="64">
        <v>0</v>
      </c>
      <c r="I48" s="64">
        <v>0</v>
      </c>
      <c r="J48" s="64">
        <v>0</v>
      </c>
      <c r="K48" s="176">
        <v>0</v>
      </c>
      <c r="L48" s="176"/>
      <c r="M48" s="176" t="s">
        <v>5913</v>
      </c>
      <c r="N48" s="176"/>
      <c r="O48" s="176"/>
      <c r="P48" s="176"/>
      <c r="Q48" s="107"/>
      <c r="S48" t="str">
        <f t="shared" si="0"/>
        <v>"LEONID_FANGED_FANGS":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v>
      </c>
    </row>
    <row r="49" spans="1:19">
      <c r="A49" s="75" t="s">
        <v>5800</v>
      </c>
      <c r="B49" s="55" t="s">
        <v>5923</v>
      </c>
      <c r="C49" s="56" t="s">
        <v>5917</v>
      </c>
      <c r="D49" s="56" t="s">
        <v>5918</v>
      </c>
      <c r="E49" s="57">
        <v>0</v>
      </c>
      <c r="F49" s="58">
        <v>0</v>
      </c>
      <c r="G49" s="58">
        <v>1</v>
      </c>
      <c r="H49" s="58">
        <v>0</v>
      </c>
      <c r="I49" s="58">
        <v>0</v>
      </c>
      <c r="J49" s="58">
        <v>1</v>
      </c>
      <c r="K49" s="177">
        <v>10.5</v>
      </c>
      <c r="L49" s="177"/>
      <c r="M49" s="177" t="s">
        <v>5944</v>
      </c>
      <c r="N49" s="177"/>
      <c r="O49" s="177"/>
      <c r="P49" s="177"/>
      <c r="Q49" s="100"/>
      <c r="S49" t="str">
        <f t="shared" si="0"/>
        <v>"LEONID_FELINE_STRIDE":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v>
      </c>
    </row>
    <row r="50" spans="1:19">
      <c r="A50" s="53" t="s">
        <v>5800</v>
      </c>
      <c r="B50" s="54" t="s">
        <v>5941</v>
      </c>
      <c r="C50" s="26" t="s">
        <v>5921</v>
      </c>
      <c r="D50" s="26" t="s">
        <v>5922</v>
      </c>
      <c r="E50" s="63">
        <v>0</v>
      </c>
      <c r="F50" s="64">
        <v>0</v>
      </c>
      <c r="G50" s="64">
        <v>0</v>
      </c>
      <c r="H50" s="64">
        <v>0</v>
      </c>
      <c r="I50" s="64">
        <v>2</v>
      </c>
      <c r="J50" s="64">
        <v>0</v>
      </c>
      <c r="K50" s="176">
        <v>0</v>
      </c>
      <c r="L50" s="176"/>
      <c r="M50" s="176" t="s">
        <v>5914</v>
      </c>
      <c r="N50" s="176"/>
      <c r="O50" s="176"/>
      <c r="P50" s="176"/>
      <c r="Q50" s="107"/>
      <c r="S50" t="str">
        <f t="shared" si="0"/>
        <v>"LEONID_HUNTER_PREDATOR":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v>
      </c>
    </row>
    <row r="51" spans="1:19">
      <c r="A51" s="75" t="s">
        <v>5687</v>
      </c>
      <c r="B51" s="55" t="s">
        <v>5687</v>
      </c>
      <c r="C51" s="56" t="s">
        <v>4918</v>
      </c>
      <c r="D51" s="56" t="s">
        <v>4918</v>
      </c>
      <c r="E51" s="57">
        <v>0</v>
      </c>
      <c r="F51" s="58">
        <v>0</v>
      </c>
      <c r="G51" s="58">
        <v>0</v>
      </c>
      <c r="H51" s="58">
        <v>0</v>
      </c>
      <c r="I51" s="58">
        <v>0</v>
      </c>
      <c r="J51" s="58">
        <v>0</v>
      </c>
      <c r="K51" s="177">
        <v>0</v>
      </c>
      <c r="L51" s="177"/>
      <c r="M51" s="177"/>
      <c r="N51" s="177"/>
      <c r="O51" s="177"/>
      <c r="P51" s="177"/>
      <c r="Q51" s="100"/>
      <c r="S51" t="str">
        <f t="shared" si="0"/>
        <v>"KALASHTAR": {
 "Id" : "KALASHTAR",
 "Race" : "KALASHTAR",
 "Name" : "Kalashtar",
 "OV" : "Kalashtar",
 "Strength" : 0,
 "Constitution" : 0,
 "Dexterity" : 0,
 "Intelligence" : 0,
 "Wisdom" : 0,
 "Charisma" : 0,
 "Speed" : 0,
 "Languages" : [],
 "Resistances" : [],
"Skills" : [], "SaveAdvantages" : [],
"Weapons" : [], "ArmorCategories" : []
  }</v>
      </c>
    </row>
    <row r="52" spans="1:19">
      <c r="A52" s="53" t="s">
        <v>5740</v>
      </c>
      <c r="B52" s="54" t="s">
        <v>5740</v>
      </c>
      <c r="C52" s="26" t="s">
        <v>5660</v>
      </c>
      <c r="D52" s="26" t="s">
        <v>5741</v>
      </c>
      <c r="E52" s="63">
        <v>0</v>
      </c>
      <c r="F52" s="64">
        <v>0</v>
      </c>
      <c r="G52" s="64">
        <v>0</v>
      </c>
      <c r="H52" s="64">
        <v>0</v>
      </c>
      <c r="I52" s="64">
        <v>0</v>
      </c>
      <c r="J52" s="64">
        <v>0</v>
      </c>
      <c r="K52" s="176">
        <v>0</v>
      </c>
      <c r="L52" s="176"/>
      <c r="M52" s="176"/>
      <c r="N52" s="176"/>
      <c r="O52" s="176"/>
      <c r="P52" s="176"/>
      <c r="Q52" s="107"/>
      <c r="S52" t="str">
        <f t="shared" si="0"/>
        <v>"WARFORGED": {
 "Id" : "WARFORGED",
 "Race" : "WARFORGED",
 "Name" : "Forgelier",
 "OV" : "Warforged",
 "Strength" : 0,
 "Constitution" : 0,
 "Dexterity" : 0,
 "Intelligence" : 0,
 "Wisdom" : 0,
 "Charisma" : 0,
 "Speed" : 0,
 "Languages" : [],
 "Resistances" : [],
"Skills" : [], "SaveAdvantages" : [],
"Weapons" : [], "ArmorCategories" : []
  }</v>
      </c>
    </row>
    <row r="53" spans="1:19">
      <c r="A53" s="75" t="s">
        <v>5771</v>
      </c>
      <c r="B53" s="55" t="s">
        <v>5771</v>
      </c>
      <c r="C53" s="56" t="s">
        <v>5772</v>
      </c>
      <c r="D53" s="56" t="s">
        <v>5772</v>
      </c>
      <c r="E53" s="57">
        <v>0</v>
      </c>
      <c r="F53" s="58">
        <v>0</v>
      </c>
      <c r="G53" s="58">
        <v>0</v>
      </c>
      <c r="H53" s="58">
        <v>0</v>
      </c>
      <c r="I53" s="58">
        <v>0</v>
      </c>
      <c r="J53" s="58">
        <v>0</v>
      </c>
      <c r="K53" s="177">
        <v>0</v>
      </c>
      <c r="L53" s="177"/>
      <c r="M53" s="177"/>
      <c r="N53" s="177"/>
      <c r="O53" s="177"/>
      <c r="P53" s="177"/>
      <c r="Q53" s="100"/>
      <c r="S53" t="str">
        <f t="shared" si="0"/>
        <v>"LOXODON": {
 "Id" : "LOXODON",
 "Race" : "LOXODON",
 "Name" : "Loxodon",
 "OV" : "Loxodon",
 "Strength" : 0,
 "Constitution" : 0,
 "Dexterity" : 0,
 "Intelligence" : 0,
 "Wisdom" : 0,
 "Charisma" : 0,
 "Speed" : 0,
 "Languages" : [],
 "Resistances" : [],
"Skills" : [], "SaveAdvantages" : [],
"Weapons" : [], "ArmorCategories" : []
  }</v>
      </c>
    </row>
    <row r="54" spans="1:19">
      <c r="A54" s="53" t="s">
        <v>5782</v>
      </c>
      <c r="B54" s="54" t="s">
        <v>5782</v>
      </c>
      <c r="C54" s="26" t="s">
        <v>5783</v>
      </c>
      <c r="D54" s="26" t="s">
        <v>5783</v>
      </c>
      <c r="E54" s="63">
        <v>0</v>
      </c>
      <c r="F54" s="64">
        <v>0</v>
      </c>
      <c r="G54" s="64">
        <v>0</v>
      </c>
      <c r="H54" s="64">
        <v>0</v>
      </c>
      <c r="I54" s="64">
        <v>0</v>
      </c>
      <c r="J54" s="64">
        <v>0</v>
      </c>
      <c r="K54" s="176">
        <v>0</v>
      </c>
      <c r="L54" s="176"/>
      <c r="M54" s="176"/>
      <c r="N54" s="176"/>
      <c r="O54" s="176"/>
      <c r="P54" s="176"/>
      <c r="Q54" s="107"/>
      <c r="S54" t="str">
        <f t="shared" si="0"/>
        <v>"SIMIC": {
 "Id" : "SIMIC",
 "Race" : "SIMIC",
 "Name" : "Simic",
 "OV" : "Simic",
 "Strength" : 0,
 "Constitution" : 0,
 "Dexterity" : 0,
 "Intelligence" : 0,
 "Wisdom" : 0,
 "Charisma" : 0,
 "Speed" : 0,
 "Languages" : [],
 "Resistances" : [],
"Skills" : [], "SaveAdvantages" : [],
"Weapons" : [], "ArmorCategories" : []
  }</v>
      </c>
    </row>
    <row r="55" spans="1:19">
      <c r="A55" s="75" t="s">
        <v>5788</v>
      </c>
      <c r="B55" s="55" t="s">
        <v>5788</v>
      </c>
      <c r="C55" s="56" t="s">
        <v>5862</v>
      </c>
      <c r="D55" s="56" t="s">
        <v>5862</v>
      </c>
      <c r="E55" s="57">
        <v>0</v>
      </c>
      <c r="F55" s="58">
        <v>0</v>
      </c>
      <c r="G55" s="58">
        <v>0</v>
      </c>
      <c r="H55" s="58">
        <v>0</v>
      </c>
      <c r="I55" s="58">
        <v>0</v>
      </c>
      <c r="J55" s="58">
        <v>0</v>
      </c>
      <c r="K55" s="177">
        <v>0</v>
      </c>
      <c r="L55" s="177"/>
      <c r="M55" s="177"/>
      <c r="N55" s="177"/>
      <c r="O55" s="177"/>
      <c r="P55" s="177"/>
      <c r="Q55" s="100"/>
      <c r="S55" t="str">
        <f t="shared" si="0"/>
        <v>"VEDALKEN": {
 "Id" : "VEDALKEN",
 "Race" : "VEDALKEN",
 "Name" : "Veldaken",
 "OV" : "Veldaken",
 "Strength" : 0,
 "Constitution" : 0,
 "Dexterity" : 0,
 "Intelligence" : 0,
 "Wisdom" : 0,
 "Charisma" : 0,
 "Speed" : 0,
 "Languages" : [],
 "Resistances" : [],
"Skills" : [], "SaveAdvantages" : [],
"Weapons" : [], "ArmorCategories" : []
  }</v>
      </c>
    </row>
    <row r="56" spans="1:19">
      <c r="A56" s="53" t="s">
        <v>5794</v>
      </c>
      <c r="B56" s="54" t="s">
        <v>5794</v>
      </c>
      <c r="C56" s="26" t="s">
        <v>5793</v>
      </c>
      <c r="D56" s="26" t="s">
        <v>5793</v>
      </c>
      <c r="E56" s="63">
        <v>0</v>
      </c>
      <c r="F56" s="64">
        <v>0</v>
      </c>
      <c r="G56" s="64">
        <v>0</v>
      </c>
      <c r="H56" s="64">
        <v>0</v>
      </c>
      <c r="I56" s="64">
        <v>0</v>
      </c>
      <c r="J56" s="64">
        <v>0</v>
      </c>
      <c r="K56" s="176">
        <v>0</v>
      </c>
      <c r="L56" s="176"/>
      <c r="M56" s="176"/>
      <c r="N56" s="176"/>
      <c r="O56" s="176"/>
      <c r="P56" s="176"/>
      <c r="Q56" s="107"/>
      <c r="S56" t="str">
        <f t="shared" si="0"/>
        <v>"VIASHINO": {
 "Id" : "VIASHINO",
 "Race" : "VIASHINO",
 "Name" : "Viashino",
 "OV" : "Viashino",
 "Strength" : 0,
 "Constitution" : 0,
 "Dexterity" : 0,
 "Intelligence" : 0,
 "Wisdom" : 0,
 "Charisma" : 0,
 "Speed" : 0,
 "Languages" : [],
 "Resistances" : [],
"Skills" : [], "SaveAdvantages" : [],
"Weapons" : [], "ArmorCategories" : []
  }</v>
      </c>
    </row>
    <row r="57" spans="1:19">
      <c r="A57" s="75" t="s">
        <v>5863</v>
      </c>
      <c r="B57" s="55" t="s">
        <v>5863</v>
      </c>
      <c r="C57" s="56" t="s">
        <v>4281</v>
      </c>
      <c r="D57" s="56" t="s">
        <v>4282</v>
      </c>
      <c r="E57" s="57">
        <v>0</v>
      </c>
      <c r="F57" s="58">
        <v>0</v>
      </c>
      <c r="G57" s="58">
        <v>0</v>
      </c>
      <c r="H57" s="58">
        <v>0</v>
      </c>
      <c r="I57" s="58">
        <v>0</v>
      </c>
      <c r="J57" s="58">
        <v>0</v>
      </c>
      <c r="K57" s="177">
        <v>0</v>
      </c>
      <c r="L57" s="177"/>
      <c r="M57" s="177"/>
      <c r="N57" s="177"/>
      <c r="O57" s="177"/>
      <c r="P57" s="177"/>
      <c r="Q57" s="100"/>
      <c r="S57" t="str">
        <f t="shared" si="0"/>
        <v>"CHANGELING": {
 "Id" : "CHANGELING",
 "Race" : "CHANGELING",
 "Name" : "Changelin",
 "OV" : "Changeling",
 "Strength" : 0,
 "Constitution" : 0,
 "Dexterity" : 0,
 "Intelligence" : 0,
 "Wisdom" : 0,
 "Charisma" : 0,
 "Speed" : 0,
 "Languages" : [],
 "Resistances" : [],
"Skills" : [], "SaveAdvantages" : [],
"Weapons" : [], "ArmorCategories" : []
  }</v>
      </c>
    </row>
    <row r="58" spans="1:19">
      <c r="A58" s="53" t="s">
        <v>237</v>
      </c>
      <c r="B58" s="54" t="s">
        <v>237</v>
      </c>
      <c r="C58" s="26" t="s">
        <v>271</v>
      </c>
      <c r="D58" s="26" t="s">
        <v>261</v>
      </c>
      <c r="E58" s="63">
        <v>0</v>
      </c>
      <c r="F58" s="64">
        <v>0</v>
      </c>
      <c r="G58" s="64">
        <v>0</v>
      </c>
      <c r="H58" s="64">
        <v>0</v>
      </c>
      <c r="I58" s="64">
        <v>0</v>
      </c>
      <c r="J58" s="64">
        <v>0</v>
      </c>
      <c r="K58" s="176">
        <v>0</v>
      </c>
      <c r="L58" s="176"/>
      <c r="M58" s="176"/>
      <c r="N58" s="176"/>
      <c r="O58" s="176"/>
      <c r="P58" s="176"/>
      <c r="Q58" s="107"/>
      <c r="S58" t="str">
        <f t="shared" si="0"/>
        <v>"AARAKOCRA": {
 "Id" : "AARAKOCRA",
 "Race" : "AARAKOCRA",
 "Name" : "Aarakocra *",
 "OV" : "Aarakocra",
 "Strength" : 0,
 "Constitution" : 0,
 "Dexterity" : 0,
 "Intelligence" : 0,
 "Wisdom" : 0,
 "Charisma" : 0,
 "Speed" : 0,
 "Languages" : [],
 "Resistances" : [],
"Skills" : [], "SaveAdvantages" : [],
"Weapons" : [], "ArmorCategories" : []
  }</v>
      </c>
    </row>
    <row r="59" spans="1:19">
      <c r="A59" s="179" t="s">
        <v>240</v>
      </c>
      <c r="B59" s="182" t="s">
        <v>240</v>
      </c>
      <c r="C59" s="102" t="s">
        <v>274</v>
      </c>
      <c r="D59" s="102" t="s">
        <v>264</v>
      </c>
      <c r="E59" s="180">
        <v>0</v>
      </c>
      <c r="F59" s="181">
        <v>0</v>
      </c>
      <c r="G59" s="181">
        <v>0</v>
      </c>
      <c r="H59" s="181">
        <v>0</v>
      </c>
      <c r="I59" s="181">
        <v>0</v>
      </c>
      <c r="J59" s="181">
        <v>0</v>
      </c>
      <c r="K59" s="183">
        <v>0</v>
      </c>
      <c r="L59" s="183"/>
      <c r="M59" s="183"/>
      <c r="N59" s="183"/>
      <c r="O59" s="183"/>
      <c r="P59" s="183"/>
      <c r="Q59" s="106"/>
      <c r="S59" t="str">
        <f t="shared" si="0"/>
        <v>"GOLIATH": {
 "Id" : "GOLIATH",
 "Race" : "GOLIATH",
 "Name" : "Goliath *",
 "OV" : "Goliath",
 "Strength" : 0,
 "Constitution" : 0,
 "Dexterity" : 0,
 "Intelligence" : 0,
 "Wisdom" : 0,
 "Charisma" : 0,
 "Speed" : 0,
 "Languages" : [],
 "Resistances" : [],
"Skills" : [], "SaveAdvantages" : [],
"Weapons" : [], "ArmorCategories" : []
  }</v>
      </c>
    </row>
    <row r="60" spans="1:19">
      <c r="A60" s="75"/>
    </row>
    <row r="61" spans="1:19">
      <c r="A61" s="75"/>
      <c r="S61" t="str">
        <f>CONCATENATE(S2,",
",S3,",
",S4,",
",S5,",
",S6,",
",S7,",
",S8,",
",S9,",
",S10,",
",S11,",
",S12,",
",S13,",
",S14,",
",S15,",
",S16,",
",S17,",
",S18,",
",S19,",
",S20,",
",S21,",
",S22,",
",S23,",
",S24,",
",S25,",
",S26,",
",S27,",
",S28,",
",S29,",
",S30,",
",S31,",
",S32,",
",S33,",
",S34,",
",S35,",
",S36,",
",S37,",
",S38,",
",S39,",
",S40,",
",S41,",
",S42,",
",S43,",
",S44,",
",S45,",
",S46,",
",S47,",
",S48,",
",S49,",
",S50,",
",S51,",
",S52,",
",S53,",
",S54,",
",S55,",
",S56,",
",S57,",
",S58,",
",S59)</f>
        <v>"HIGH_ELF":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
"WOODEN_ELF":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
"DROW": {
 "Id" : "DROW",
 "Race" : "ELF",
 "Name" : "Elfe noir",
 "OV" : "Drow",
 "Strength" : 0,
 "Constitution" : 0,
 "Dexterity" : 0,
 "Intelligence" : 0,
 "Wisdom" : 0,
 "Charisma" : 0,
 "Speed" : 0,
 "Languages" : ["COMMON"],
 "Resistances" : [],
"Skills" : [], "SaveAdvantages" : [],
"Weapons" : ["Rapière", "Épée courte", "Arbalète de poing"], "ArmorCategories" : []
  },
"AVARIEL": {
 "Id" : "AVARIEL",
 "Race" : "ELF",
 "Name" : "Avariel",
 "OV" : "Avariel",
 "Strength" : 0,
 "Constitution" : 0,
 "Dexterity" : 0,
 "Intelligence" : 0,
 "Wisdom" : 0,
 "Charisma" : 0,
 "Speed" : 0,
 "Languages" : ["COMMON", "AIR"],
 "Resistances" : [],
"Skills" : [], "SaveAdvantages" : [],
"Weapons" : [], "ArmorCategories" : []
  },
"GRUGACH": {
 "Id" : "GRUGACH",
 "Race" : "ELF",
 "Name" : "Grugach",
 "OV" : "Grugach",
 "Strength" : 1,
 "Constitution" : 0,
 "Dexterity" : 0,
 "Intelligence" : 0,
 "Wisdom" : 0,
 "Charisma" : 0,
 "Speed" : 0,
 "Languages" : ["SILVAN"],
 "Resistances" : [],
"Skills" : [], "SaveAdvantages" : [],
"Weapons" : ["Lance", "Arc court", "Arc long", "Filet"], "ArmorCategories" : []
  },
"AQUATIC_ELF":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
"SHADAR_KAI": {
 "Id" : "SHADAR_KAI",
 "Race" : "ELF",
 "Name" : "Shadar-kai",
 "OV" : "Shadar-kai",
 "Strength" : 0,
 "Constitution" : 0,
 "Dexterity" : 0,
 "Intelligence" : 0,
 "Wisdom" : 0,
 "Charisma" : 1,
 "Speed" : 0,
 "Languages" : ["COMMON"],
 "Resistances" : [],
"Skills" : [], "SaveAdvantages" : [],
"Weapons" : [], "ArmorCategories" : []
  },
"LIGHT_FOOT_HALFELIN": {
 "Id" : "LIGHT_FOOT_HALFELIN",
 "Race" : "HALFELIN",
 "Name" : "Halfelin pied-léger",
 "OV" : "Light-foot Halfelin",
 "Strength" : 0,
 "Constitution" : 0,
 "Dexterity" : 0,
 "Intelligence" : 0,
 "Wisdom" : 0,
 "Charisma" : 1,
 "Speed" : 0,
 "Languages" : [],
 "Resistances" : [],
"Skills" : [], "SaveAdvantages" : [],
"Weapons" : [], "ArmorCategories" : []
  },
"ROBUST_HALFELIN": {
 "Id" : "ROBUST_HALFELIN",
 "Race" : "HALFELIN",
 "Name" : "Halfelin Robuste",
 "OV" : "Robust Halfelin",
 "Strength" : 0,
 "Constitution" : 1,
 "Dexterity" : 0,
 "Intelligence" : 0,
 "Wisdom" : 0,
 "Charisma" : 0,
 "Speed" : 0,
 "Languages" : [],
 "Resistances" : ["POISON"],
"Skills" : [], "SaveAdvantages" : ["POISON"],
"Weapons" : [], "ArmorCategories" : []
  },
"HILLS_DWARF": {
 "Id" : "HILLS_DWARF",
 "Race" : "DWARF",
 "Name" : "Nain des collines",
 "OV" : "Hills Dwarf",
 "Strength" : 0,
 "Constitution" : 0,
 "Dexterity" : 0,
 "Intelligence" : 0,
 "Wisdom" : 1,
 "Charisma" : 0,
 "Speed" : 0,
 "Languages" : [],
 "Resistances" : [],
"Skills" : [], "SaveAdvantages" : [],
"Weapons" : [], "ArmorCategories" : []
  },
"MONTAINS_DWARF": {
 "Id" : "MONTAINS_DWARF",
 "Race" : "DWARF",
 "Name" : "Nain des montagnes",
 "OV" : "Mountains Dwarf",
 "Strength" : 2,
 "Constitution" : 0,
 "Dexterity" : 0,
 "Intelligence" : 0,
 "Wisdom" : 0,
 "Charisma" : 0,
 "Speed" : 0,
 "Languages" : [],
 "Resistances" : [],
"Skills" : [], "SaveAdvantages" : [],
"Weapons" : [], "ArmorCategories" : ["1_LIGHT", "2_MID"]
  },
"FORESTS_GNOME": {
 "Id" : "FORESTS_GNOME",
 "Race" : "GNOME",
 "Name" : "Gnome des forêts",
 "OV" : "Forests Gnome",
 "Strength" : 0,
 "Constitution" : 0,
 "Dexterity" : 1,
 "Intelligence" : 0,
 "Wisdom" : 0,
 "Charisma" : 0,
 "Speed" : 0,
 "Languages" : [],
 "Resistances" : [],
"Skills" : [], "SaveAdvantages" : [],
"Weapons" : [], "ArmorCategories" : []
  },
"ROCKS_GNOME": {
 "Id" : "ROCKS_GNOME",
 "Race" : "GNOME",
 "Name" : "Gnome des roches",
 "OV" : "Rocks Gnome",
 "Strength" : 1,
 "Constitution" : 0,
 "Dexterity" : 0,
 "Intelligence" : 0,
 "Wisdom" : 0,
 "Charisma" : 0,
 "Speed" : 0,
 "Languages" : [],
 "Resistances" : [],
"Skills" : [], "SaveAdvantages" : [],
"Weapons" : [], "ArmorCategories" : []
  },
"DEPTH_GNOME": {
 "Id" : "DEPTH_GNOME",
 "Race" : "GNOME",
 "Name" : "Gnome des profondeurs *",
 "OV" : "Depth Gnome",
 "Strength" : 0,
 "Constitution" : 0,
 "Dexterity" : 1,
 "Intelligence" : 0,
 "Wisdom" : 0,
 "Charisma" : 0,
 "Speed" : 0,
 "Languages" : ["DEPTH_COMMON"],
 "Resistances" : [],
"Skills" : [], "SaveAdvantages" : [],
"Weapons" : [], "ArmorCategories" : []
  },
"AIR_GENASI": {
 "Id" : "AIR_GENASI",
 "Race" : "GENASI",
 "Name" : "Génasi de l'air",
 "OV" : "Air Genasi",
 "Strength" : 0,
 "Constitution" : 0,
 "Dexterity" : 1,
 "Intelligence" : 0,
 "Wisdom" : 0,
 "Charisma" : 0,
 "Speed" : 0,
 "Languages" : [],
 "Resistances" : [],
"Skills" : [], "SaveAdvantages" : [],
"Weapons" : [], "ArmorCategories" : []
  },
"EARTH_GENASI": {
 "Id" : "EARTH_GENASI",
 "Race" : "GENASI",
 "Name" : "Génasi de la terre",
 "OV" : "Earth Genasi",
 "Strength" : 1,
 "Constitution" : 0,
 "Dexterity" : 0,
 "Intelligence" : 0,
 "Wisdom" : 0,
 "Charisma" : 0,
 "Speed" : 0,
 "Languages" : [],
 "Resistances" : [],
"Skills" : [], "SaveAdvantages" : [],
"Weapons" : [], "ArmorCategories" : []
  },
"FIRE_GENASI": {
 "Id" : "FIRE_GENASI",
 "Race" : "GENASI",
 "Name" : "Génasi du feu",
 "OV" : "Fire Genasi",
 "Strength" : 0,
 "Constitution" : 0,
 "Dexterity" : 0,
 "Intelligence" : 1,
 "Wisdom" : 0,
 "Charisma" : 0,
 "Speed" : 0,
 "Languages" : [],
 "Resistances" : ["FIRE"],
"Skills" : [], "SaveAdvantages" : [],
"Weapons" : [], "ArmorCategories" : []
  },
"WATER_GENASI": {
 "Id" : "WATER_GENASI",
 "Race" : "GENASI",
 "Name" : "Génasi de l'eau",
 "OV" : "Water Genasi",
 "Strength" : 0,
 "Constitution" : 0,
 "Dexterity" : 0,
 "Intelligence" : 0,
 "Wisdom" : 1,
 "Charisma" : 0,
 "Speed" : 0,
 "Languages" : [],
 "Resistances" : ["ACID"],
"Skills" : [], "SaveAdvantages" : [],
"Weapons" : [], "ArmorCategories" : []
  },
"HUMAN": {
 "Id" : "HUMAN",
 "Race" : "HUMAN",
 "Name" : "Humain",
 "OV" : "Human",
 "Strength" : 0,
 "Constitution" : 0,
 "Dexterity" : 0,
 "Intelligence" : 0,
 "Wisdom" : 0,
 "Charisma" : 0,
 "Speed" : 0,
 "Languages" : [],
 "Resistances" : [],
"Skills" : [], "SaveAdvantages" : [],
"Weapons" : [], "ArmorCategories" : []
  },
"HALF_ELF": {
 "Id" : "HALF_ELF",
 "Race" : "HALF_ELF",
 "Name" : "Demi-Elfe",
 "OV" : "Half-Elf",
 "Strength" : 0,
 "Constitution" : 0,
 "Dexterity" : 0,
 "Intelligence" : 0,
 "Wisdom" : 0,
 "Charisma" : 0,
 "Speed" : 0,
 "Languages" : [],
 "Resistances" : [],
"Skills" : [], "SaveAdvantages" : [],
"Weapons" : [], "ArmorCategories" : []
  },
"HALF_ORC": {
 "Id" : "HALF_ORC",
 "Race" : "HALF_ORC",
 "Name" : "Demi-Orque",
 "OV" : "Half-Orc",
 "Strength" : 0,
 "Constitution" : 0,
 "Dexterity" : 0,
 "Intelligence" : 0,
 "Wisdom" : 0,
 "Charisma" : 0,
 "Speed" : 0,
 "Languages" : [],
 "Resistances" : [],
"Skills" : [], "SaveAdvantages" : [],
"Weapons" : [], "ArmorCategories" : []
  },
"WHITE_DRAGON":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
"BLUE_DRAGON":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
"BLACK_DRAGON":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
"RED_DRAGON":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
"GREEN_DRAGON":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
"BRASS_DRAGON":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
"SILVER_DRAGON":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
"BRONZE_DRAGON":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
"COPPER_DRAGON":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
"GOLD_DRAGON":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
"TIEFFLING_0": {
 "Id" : "TIEFFLING_0",
 "Race" : "TIEFFLING",
 "Name" : "Tieffelin",
 "OV" : "Tieffling",
 "Strength" : 0,
 "Constitution" : 0,
 "Dexterity" : 0,
 "Intelligence" : 1,
 "Wisdom" : 0,
 "Charisma" : 2,
 "Speed" : 0,
 "Languages" : [],
 "Resistances" : ["FIRE"],
"Skills" : [], "SaveAdvantages" : [],
"Weapons" : [], "ArmorCategories" : []
  },
"TIEFFLING_ASMODEUS":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
"TIEFFLING_BEELZEBUB":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
"TIEFFLING_DISPAT":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
"TIEFFLING_FIERNA":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
"TIEFFLING_GLASYA":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
"TIEFFLING_LEVISTUS":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
"TIEFFLING_MAMMON":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
"TIEFFLING_MEPHISTOPHELES":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
"TIEFFLING_ZARIEL":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
"FERAL_ANIMAL_SKIN":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
"FERAL_LONG_TEETH":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
"FERAL_LONG_STRIDE":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
"FERAL_WILD_HUNT": {
 "Id" : "FERAL_WILD_HUNT",
 "Race" : "FERAL",
 "Name" : "Féral - Traque sauvage",
 "OV" : "Feral - Wild hunt",
 "Strength" : 0,
 "Constitution" : 0,
 "Dexterity" : 0,
 "Intelligence" : 0,
 "Wisdom" : 2,
 "Charisma" : 0,
 "Speed" : 0,
 "Languages" : [],
 "Resistances" : [],
"Skills" : ["Survie"], "SaveAdvantages" : [],
"Weapons" : [], "ArmorCategories" : []
  },
"LEONID_HARD_SKIN": {
 "Id" : "LEONID_HARD_SKIN",
 "Race" : "LEONID",
 "Name" : "Léonide - Peau dur",
 "OV" : "Leonid - Hard skin",
 "Strength" : 0,
 "Constitution" : 2,
 "Dexterity" : 0,
 "Intelligence" : 0,
 "Wisdom" : 0,
 "Charisma" : 0,
 "Speed" : 0,
 "Languages" : [],
 "Resistances" : [],
"Skills" : ["Athlétisme"], "SaveAdvantages" : [],
"Weapons" : [], "ArmorCategories" : []
  },
"LEONID_FANGED_FANGS":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
"LEONID_FELINE_STRIDE":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
"LEONID_HUNTER_PREDATOR":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
"KALASHTAR": {
 "Id" : "KALASHTAR",
 "Race" : "KALASHTAR",
 "Name" : "Kalashtar",
 "OV" : "Kalashtar",
 "Strength" : 0,
 "Constitution" : 0,
 "Dexterity" : 0,
 "Intelligence" : 0,
 "Wisdom" : 0,
 "Charisma" : 0,
 "Speed" : 0,
 "Languages" : [],
 "Resistances" : [],
"Skills" : [], "SaveAdvantages" : [],
"Weapons" : [], "ArmorCategories" : []
  },
"WARFORGED": {
 "Id" : "WARFORGED",
 "Race" : "WARFORGED",
 "Name" : "Forgelier",
 "OV" : "Warforged",
 "Strength" : 0,
 "Constitution" : 0,
 "Dexterity" : 0,
 "Intelligence" : 0,
 "Wisdom" : 0,
 "Charisma" : 0,
 "Speed" : 0,
 "Languages" : [],
 "Resistances" : [],
"Skills" : [], "SaveAdvantages" : [],
"Weapons" : [], "ArmorCategories" : []
  },
"LOXODON": {
 "Id" : "LOXODON",
 "Race" : "LOXODON",
 "Name" : "Loxodon",
 "OV" : "Loxodon",
 "Strength" : 0,
 "Constitution" : 0,
 "Dexterity" : 0,
 "Intelligence" : 0,
 "Wisdom" : 0,
 "Charisma" : 0,
 "Speed" : 0,
 "Languages" : [],
 "Resistances" : [],
"Skills" : [], "SaveAdvantages" : [],
"Weapons" : [], "ArmorCategories" : []
  },
"SIMIC": {
 "Id" : "SIMIC",
 "Race" : "SIMIC",
 "Name" : "Simic",
 "OV" : "Simic",
 "Strength" : 0,
 "Constitution" : 0,
 "Dexterity" : 0,
 "Intelligence" : 0,
 "Wisdom" : 0,
 "Charisma" : 0,
 "Speed" : 0,
 "Languages" : [],
 "Resistances" : [],
"Skills" : [], "SaveAdvantages" : [],
"Weapons" : [], "ArmorCategories" : []
  },
"VEDALKEN": {
 "Id" : "VEDALKEN",
 "Race" : "VEDALKEN",
 "Name" : "Veldaken",
 "OV" : "Veldaken",
 "Strength" : 0,
 "Constitution" : 0,
 "Dexterity" : 0,
 "Intelligence" : 0,
 "Wisdom" : 0,
 "Charisma" : 0,
 "Speed" : 0,
 "Languages" : [],
 "Resistances" : [],
"Skills" : [], "SaveAdvantages" : [],
"Weapons" : [], "ArmorCategories" : []
  },
"VIASHINO": {
 "Id" : "VIASHINO",
 "Race" : "VIASHINO",
 "Name" : "Viashino",
 "OV" : "Viashino",
 "Strength" : 0,
 "Constitution" : 0,
 "Dexterity" : 0,
 "Intelligence" : 0,
 "Wisdom" : 0,
 "Charisma" : 0,
 "Speed" : 0,
 "Languages" : [],
 "Resistances" : [],
"Skills" : [], "SaveAdvantages" : [],
"Weapons" : [], "ArmorCategories" : []
  },
"CHANGELING": {
 "Id" : "CHANGELING",
 "Race" : "CHANGELING",
 "Name" : "Changelin",
 "OV" : "Changeling",
 "Strength" : 0,
 "Constitution" : 0,
 "Dexterity" : 0,
 "Intelligence" : 0,
 "Wisdom" : 0,
 "Charisma" : 0,
 "Speed" : 0,
 "Languages" : [],
 "Resistances" : [],
"Skills" : [], "SaveAdvantages" : [],
"Weapons" : [], "ArmorCategories" : []
  },
"AARAKOCRA": {
 "Id" : "AARAKOCRA",
 "Race" : "AARAKOCRA",
 "Name" : "Aarakocra *",
 "OV" : "Aarakocra",
 "Strength" : 0,
 "Constitution" : 0,
 "Dexterity" : 0,
 "Intelligence" : 0,
 "Wisdom" : 0,
 "Charisma" : 0,
 "Speed" : 0,
 "Languages" : [],
 "Resistances" : [],
"Skills" : [], "SaveAdvantages" : [],
"Weapons" : [], "ArmorCategories" : []
  },
"GOLIATH": {
 "Id" : "GOLIATH",
 "Race" : "GOLIATH",
 "Name" : "Goliath *",
 "OV" : "Goliath",
 "Strength" : 0,
 "Constitution" : 0,
 "Dexterity" : 0,
 "Intelligence" : 0,
 "Wisdom" : 0,
 "Charisma" : 0,
 "Speed" : 0,
 "Languages" : [],
 "Resistances" : [],
"Skills" : [], "SaveAdvantages" : [],
"Weapons" : [], "ArmorCategories" : []
  }</v>
      </c>
    </row>
    <row r="62" spans="1:19">
      <c r="A62" s="75"/>
    </row>
    <row r="63" spans="1:19">
      <c r="A63" s="75"/>
    </row>
    <row r="64" spans="1:19">
      <c r="A64" s="75"/>
    </row>
    <row r="65" spans="1:1">
      <c r="A65" s="75"/>
    </row>
  </sheetData>
  <hyperlinks>
    <hyperlink ref="C2" r:id="rId1" tooltip="Allez à la page Elfe" display="https://www.aidedd.org/regles/races/elfe/" xr:uid="{00000000-0004-0000-0200-000000000000}"/>
    <hyperlink ref="C11" r:id="rId2" tooltip="Allez à la page Nain" display="https://www.aidedd.org/regles/races/nain/" xr:uid="{00000000-0004-0000-0200-000001000000}"/>
    <hyperlink ref="C13" r:id="rId3" tooltip="Allez à la page Gnome" display="https://www.aidedd.org/regles/races/gnome/" xr:uid="{00000000-0004-0000-0200-000002000000}"/>
    <hyperlink ref="C19" r:id="rId4" tooltip="Allez à la page Génasi" display="https://www.aidedd.org/regles/races/genasis/" xr:uid="{00000000-0004-0000-0200-000003000000}"/>
    <hyperlink ref="C10" r:id="rId5" tooltip="Allez à la page Halfelin" display="https://www.aidedd.org/regles/races/halfelin/" xr:uid="{00000000-0004-0000-0200-000004000000}"/>
    <hyperlink ref="C9" r:id="rId6" tooltip="Allez à la page Halfelin" display="https://www.aidedd.org/regles/races/halfelin/" xr:uid="{00000000-0004-0000-0200-000005000000}"/>
    <hyperlink ref="C20" r:id="rId7" tooltip="Allez à la page Humain" display="https://www.aidedd.org/regles/races/humain/" xr:uid="{00000000-0004-0000-0200-000006000000}"/>
    <hyperlink ref="C22" r:id="rId8" tooltip="Allez à la page Demi-orque" display="https://www.aidedd.org/regles/races/demi-orque/" xr:uid="{00000000-0004-0000-0200-000007000000}"/>
    <hyperlink ref="C23" r:id="rId9" tooltip="Allez à la page Drakéide" display="https://www.aidedd.org/regles/races/drakeide/" xr:uid="{00000000-0004-0000-0200-000008000000}"/>
    <hyperlink ref="C33" r:id="rId10" tooltip="Allez à la page Tieffelin" display="https://www.aidedd.org/regles/races/tieffelin/" xr:uid="{00000000-0004-0000-0200-000009000000}"/>
    <hyperlink ref="C58" r:id="rId11" tooltip="Allez à la page Aarakocra" display="https://www.aidedd.org/regles/races/aarakocra/" xr:uid="{00000000-0004-0000-0200-00000A000000}"/>
    <hyperlink ref="C21" r:id="rId12" tooltip="Allez à la page Demi-elfe" display="https://www.aidedd.org/regles/races/demi-elfe/" xr:uid="{00000000-0004-0000-0200-00000B000000}"/>
    <hyperlink ref="C59" r:id="rId13" tooltip="Allez à la page Goliath" display="https://www.aidedd.org/regles/races/goliath/" xr:uid="{00000000-0004-0000-0200-00000C000000}"/>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0"/>
  <sheetViews>
    <sheetView zoomScale="115" zoomScaleNormal="115" workbookViewId="0">
      <pane xSplit="1" ySplit="1" topLeftCell="C2" activePane="bottomRight" state="frozenSplit"/>
      <selection pane="topRight" activeCell="O1" sqref="O1"/>
      <selection pane="bottomLeft" activeCell="A23" sqref="A23"/>
      <selection pane="bottomRight" activeCell="J8" sqref="J8"/>
    </sheetView>
  </sheetViews>
  <sheetFormatPr baseColWidth="10" defaultRowHeight="15"/>
  <cols>
    <col min="1" max="1" width="21.85546875" customWidth="1"/>
    <col min="2" max="3" width="27.28515625" customWidth="1"/>
    <col min="4" max="4" width="8.28515625" customWidth="1"/>
    <col min="5" max="5" width="12.42578125" customWidth="1"/>
    <col min="6" max="6" width="11.140625" customWidth="1"/>
    <col min="7" max="7" width="12.140625" customWidth="1"/>
    <col min="8" max="8" width="23.7109375" customWidth="1"/>
    <col min="11" max="12" width="16.140625" customWidth="1"/>
    <col min="14" max="14" width="16.42578125" customWidth="1"/>
    <col min="15" max="15" width="17.42578125" customWidth="1"/>
    <col min="16" max="16" width="21.7109375" customWidth="1"/>
    <col min="17" max="17" width="23.42578125" customWidth="1"/>
    <col min="18" max="18" width="25.140625" customWidth="1"/>
    <col min="19" max="19" width="35.140625" customWidth="1"/>
    <col min="20" max="20" width="53" customWidth="1"/>
    <col min="21" max="21" width="41.7109375" customWidth="1"/>
    <col min="22" max="23" width="22" customWidth="1"/>
    <col min="24" max="24" width="18.5703125" customWidth="1"/>
    <col min="25" max="25" width="8.140625" customWidth="1"/>
  </cols>
  <sheetData>
    <row r="1" spans="1:26">
      <c r="A1" s="44" t="s">
        <v>312</v>
      </c>
      <c r="B1" s="65" t="s">
        <v>13</v>
      </c>
      <c r="C1" s="20" t="s">
        <v>15</v>
      </c>
      <c r="D1" s="20" t="s">
        <v>11</v>
      </c>
      <c r="E1" s="20" t="s">
        <v>10</v>
      </c>
      <c r="F1" s="20" t="s">
        <v>6</v>
      </c>
      <c r="G1" s="20" t="s">
        <v>7</v>
      </c>
      <c r="H1" s="20" t="s">
        <v>8</v>
      </c>
      <c r="I1" s="21" t="s">
        <v>9</v>
      </c>
      <c r="J1" s="108" t="s">
        <v>1036</v>
      </c>
      <c r="K1" s="108" t="s">
        <v>2835</v>
      </c>
      <c r="L1" s="108" t="s">
        <v>2836</v>
      </c>
      <c r="M1" s="108" t="s">
        <v>994</v>
      </c>
      <c r="N1" s="108" t="s">
        <v>1017</v>
      </c>
      <c r="O1" s="150" t="s">
        <v>1018</v>
      </c>
      <c r="P1" s="108" t="s">
        <v>2824</v>
      </c>
      <c r="Q1" s="108" t="s">
        <v>2825</v>
      </c>
      <c r="R1" s="108" t="s">
        <v>3263</v>
      </c>
      <c r="S1" s="108" t="s">
        <v>2547</v>
      </c>
      <c r="T1" s="108" t="s">
        <v>2548</v>
      </c>
      <c r="U1" s="108" t="s">
        <v>2551</v>
      </c>
      <c r="V1" s="108" t="s">
        <v>2701</v>
      </c>
      <c r="W1" s="108" t="s">
        <v>956</v>
      </c>
      <c r="X1" s="150" t="s">
        <v>2614</v>
      </c>
      <c r="Y1" s="62"/>
    </row>
    <row r="2" spans="1:26">
      <c r="A2" s="48" t="s">
        <v>5948</v>
      </c>
      <c r="B2" s="41" t="s">
        <v>5949</v>
      </c>
      <c r="C2" s="41" t="s">
        <v>5950</v>
      </c>
      <c r="D2" s="22">
        <v>0</v>
      </c>
      <c r="E2" s="22">
        <v>0</v>
      </c>
      <c r="F2" s="22">
        <v>0</v>
      </c>
      <c r="G2" s="22">
        <v>0</v>
      </c>
      <c r="H2" s="22">
        <v>0</v>
      </c>
      <c r="I2" s="22">
        <v>0</v>
      </c>
      <c r="J2" s="22"/>
      <c r="K2" s="22"/>
      <c r="L2" s="22"/>
      <c r="M2" s="149">
        <v>8</v>
      </c>
      <c r="N2" s="149"/>
      <c r="O2" s="149"/>
      <c r="P2" s="149" t="s">
        <v>6014</v>
      </c>
      <c r="Q2" s="209">
        <v>3</v>
      </c>
      <c r="R2" s="209"/>
      <c r="S2" s="149" t="s">
        <v>2549</v>
      </c>
      <c r="T2" s="149"/>
      <c r="U2" s="149" t="s">
        <v>2647</v>
      </c>
      <c r="V2" s="149" t="s">
        <v>5951</v>
      </c>
      <c r="W2" s="149"/>
      <c r="X2" s="111" t="s">
        <v>5952</v>
      </c>
      <c r="Y2" s="58"/>
      <c r="Z2" t="str">
        <f>""""&amp;A2&amp;""":  {
 ""Id"" : """&amp;A2&amp;""",
 ""Name"" : """&amp;B2&amp;""",
 ""OV"" : """&amp;C2&amp;""",
 ""Strength"" : "&amp;D2&amp;",
 ""Constitution"" : "&amp;E2&amp;",
 ""Dexterity"" : "&amp;F2&amp;",
 ""Intelligence"" : "&amp;G2&amp;",
 ""Wisdom"" : "&amp;H2&amp;",
 ""Charisma"" : "&amp;I2&amp;",
 ""ACBonus"" : """&amp;J2&amp;""",
 "&amp;IF(ISBLANK(K2),"","""ACBonusArmor"" : "&amp;K2&amp;",")
 &amp;IF(ISBLANK(L2),"","""ACBonusShield"" : "&amp;L2&amp;",")&amp;"
 ""HD"" : "&amp;M2&amp;",
 ""SpecialsName"" : """&amp;N2&amp;""",
 ""BonusAttackName"" : """&amp;O2&amp;""",
 ""SpecialisationName"" : """&amp;P2&amp;""",
 ""SpecialisationLevel"" : "&amp;Q2&amp;","
&amp;IF(ISBLANK(R2),"","""FightStyleLevel"" : "&amp;R2&amp;",")&amp;"
 ""WeaponCategories"" : ["&amp;S2&amp;"],
 ""Weapons"" : ["&amp;T2&amp;"],
 ""ArmorCategories"" : ["&amp;U2&amp;"],
 ""Saves"" : ["&amp;X2&amp;"],
 ""Objects"" : ["&amp;V2&amp;"],
 ""StartingObjects"" : ["&amp;W2&amp;"]
  }"</f>
        <v>"ARTIFICER":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v>
      </c>
    </row>
    <row r="3" spans="1:26">
      <c r="A3" s="53" t="s">
        <v>241</v>
      </c>
      <c r="B3" s="26" t="s">
        <v>287</v>
      </c>
      <c r="C3" s="26" t="s">
        <v>275</v>
      </c>
      <c r="D3" s="23">
        <v>0</v>
      </c>
      <c r="E3" s="23">
        <v>0</v>
      </c>
      <c r="F3" s="23">
        <v>0</v>
      </c>
      <c r="G3" s="23">
        <v>0</v>
      </c>
      <c r="H3" s="23">
        <v>0</v>
      </c>
      <c r="I3" s="23">
        <v>0</v>
      </c>
      <c r="J3" s="23" t="s">
        <v>2833</v>
      </c>
      <c r="K3" s="23" t="s">
        <v>2808</v>
      </c>
      <c r="L3" s="23"/>
      <c r="M3" s="148">
        <v>12</v>
      </c>
      <c r="N3" s="148" t="s">
        <v>1020</v>
      </c>
      <c r="O3" s="148"/>
      <c r="P3" s="148" t="s">
        <v>997</v>
      </c>
      <c r="Q3" s="208">
        <v>3</v>
      </c>
      <c r="R3" s="208"/>
      <c r="S3" s="148" t="s">
        <v>2555</v>
      </c>
      <c r="T3" s="148"/>
      <c r="U3" s="148" t="s">
        <v>2647</v>
      </c>
      <c r="V3" s="148"/>
      <c r="W3" s="148"/>
      <c r="X3" s="110" t="s">
        <v>2649</v>
      </c>
      <c r="Y3" s="58"/>
      <c r="Z3" t="str">
        <f>""""&amp;A3&amp;""":  {
 ""Id"" : """&amp;A3&amp;""",
 ""Name"" : """&amp;B3&amp;""",
 ""OV"" : """&amp;C3&amp;""",
 ""Strength"" : "&amp;D3&amp;",
 ""Constitution"" : "&amp;E3&amp;",
 ""Dexterity"" : "&amp;F3&amp;",
 ""Intelligence"" : "&amp;G3&amp;",
 ""Wisdom"" : "&amp;H3&amp;",
 ""Charisma"" : "&amp;I3&amp;",
 ""ACBonus"" : """&amp;J3&amp;""",
 "&amp;IF(ISBLANK(K3),"","""ACBonusArmor"" : "&amp;K3&amp;",")
 &amp;IF(ISBLANK(L3),"","""ACBonusShield"" : "&amp;L3&amp;",")&amp;"
 ""HD"" : "&amp;M3&amp;",
 ""SpecialsName"" : """&amp;N3&amp;""",
 ""BonusAttackName"" : """&amp;O3&amp;""",
 ""SpecialisationName"" : """&amp;P3&amp;""",
 ""SpecialisationLevel"" : "&amp;Q3&amp;","
&amp;IF(ISBLANK(R3),"","""FightStyleLevel"" : "&amp;R3&amp;",")&amp;"
 ""WeaponCategories"" : ["&amp;S3&amp;"],
 ""Weapons"" : ["&amp;T3&amp;"],
 ""ArmorCategories"" : ["&amp;U3&amp;"],
 ""Saves"" : ["&amp;X3&amp;"],
 ""Objects"" : ["&amp;V3&amp;"],
 ""StartingObjects"" : ["&amp;W3&amp;"]
  }"</f>
        <v>"BARBARIAN":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v>
      </c>
    </row>
    <row r="4" spans="1:26">
      <c r="A4" s="48" t="s">
        <v>242</v>
      </c>
      <c r="B4" s="41" t="s">
        <v>288</v>
      </c>
      <c r="C4" s="41" t="s">
        <v>276</v>
      </c>
      <c r="D4" s="22">
        <v>0</v>
      </c>
      <c r="E4" s="22">
        <v>0</v>
      </c>
      <c r="F4" s="22">
        <v>0</v>
      </c>
      <c r="G4" s="22">
        <v>0</v>
      </c>
      <c r="H4" s="22">
        <v>0</v>
      </c>
      <c r="I4" s="22">
        <v>0</v>
      </c>
      <c r="J4" s="22"/>
      <c r="K4" s="22"/>
      <c r="L4" s="22"/>
      <c r="M4" s="149">
        <v>8</v>
      </c>
      <c r="N4" s="149"/>
      <c r="O4" s="149"/>
      <c r="P4" s="149" t="s">
        <v>2826</v>
      </c>
      <c r="Q4" s="209">
        <v>3</v>
      </c>
      <c r="R4" s="209"/>
      <c r="S4" s="149" t="s">
        <v>2549</v>
      </c>
      <c r="T4" s="149" t="s">
        <v>2552</v>
      </c>
      <c r="U4" s="149" t="s">
        <v>2646</v>
      </c>
      <c r="V4" s="149"/>
      <c r="W4" s="149"/>
      <c r="X4" s="111" t="s">
        <v>2651</v>
      </c>
      <c r="Y4" s="58"/>
      <c r="Z4" t="str">
        <f t="shared" ref="Z4:Z15" si="0">""""&amp;A4&amp;""":  {
 ""Id"" : """&amp;A4&amp;""",
 ""Name"" : """&amp;B4&amp;""",
 ""OV"" : """&amp;C4&amp;""",
 ""Strength"" : "&amp;D4&amp;",
 ""Constitution"" : "&amp;E4&amp;",
 ""Dexterity"" : "&amp;F4&amp;",
 ""Intelligence"" : "&amp;G4&amp;",
 ""Wisdom"" : "&amp;H4&amp;",
 ""Charisma"" : "&amp;I4&amp;",
 ""ACBonus"" : """&amp;J4&amp;""",
 "&amp;IF(ISBLANK(K4),"","""ACBonusArmor"" : "&amp;K4&amp;",")
 &amp;IF(ISBLANK(L4),"","""ACBonusShield"" : "&amp;L4&amp;",")&amp;"
 ""HD"" : "&amp;M4&amp;",
 ""SpecialsName"" : """&amp;N4&amp;""",
 ""BonusAttackName"" : """&amp;O4&amp;""",
 ""SpecialisationName"" : """&amp;P4&amp;""",
 ""SpecialisationLevel"" : "&amp;Q4&amp;","
&amp;IF(ISBLANK(R4),"","""FightStyleLevel"" : "&amp;R4&amp;",")&amp;"
 ""WeaponCategories"" : ["&amp;S4&amp;"],
 ""Weapons"" : ["&amp;T4&amp;"],
 ""ArmorCategories"" : ["&amp;U4&amp;"],
 ""Saves"" : ["&amp;X4&amp;"],
 ""Objects"" : ["&amp;V4&amp;"],
 ""StartingObjects"" : ["&amp;W4&amp;"]
  }"</f>
        <v>"BARD":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v>
      </c>
    </row>
    <row r="5" spans="1:26">
      <c r="A5" s="53" t="s">
        <v>243</v>
      </c>
      <c r="B5" s="26" t="s">
        <v>289</v>
      </c>
      <c r="C5" s="26" t="s">
        <v>277</v>
      </c>
      <c r="D5" s="23">
        <v>0</v>
      </c>
      <c r="E5" s="23">
        <v>0</v>
      </c>
      <c r="F5" s="23">
        <v>0</v>
      </c>
      <c r="G5" s="23">
        <v>0</v>
      </c>
      <c r="H5" s="23">
        <v>0</v>
      </c>
      <c r="I5" s="23">
        <v>0</v>
      </c>
      <c r="J5" s="23"/>
      <c r="K5" s="23"/>
      <c r="L5" s="23"/>
      <c r="M5" s="148">
        <v>8</v>
      </c>
      <c r="N5" s="148"/>
      <c r="O5" s="148"/>
      <c r="P5" s="148" t="s">
        <v>2827</v>
      </c>
      <c r="Q5" s="208">
        <v>1</v>
      </c>
      <c r="R5" s="208"/>
      <c r="S5" s="148" t="s">
        <v>2549</v>
      </c>
      <c r="T5" s="148"/>
      <c r="U5" s="148" t="s">
        <v>2647</v>
      </c>
      <c r="V5" s="148"/>
      <c r="W5" s="148"/>
      <c r="X5" s="110" t="s">
        <v>2653</v>
      </c>
      <c r="Y5" s="58"/>
      <c r="Z5" t="str">
        <f t="shared" si="0"/>
        <v>"CLERK":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v>
      </c>
    </row>
    <row r="6" spans="1:26">
      <c r="A6" s="48" t="s">
        <v>244</v>
      </c>
      <c r="B6" s="41" t="s">
        <v>290</v>
      </c>
      <c r="C6" s="41" t="s">
        <v>278</v>
      </c>
      <c r="D6" s="22">
        <v>0</v>
      </c>
      <c r="E6" s="22">
        <v>0</v>
      </c>
      <c r="F6" s="22">
        <v>0</v>
      </c>
      <c r="G6" s="22">
        <v>0</v>
      </c>
      <c r="H6" s="22">
        <v>0</v>
      </c>
      <c r="I6" s="22">
        <v>0</v>
      </c>
      <c r="J6" s="22"/>
      <c r="K6" s="22"/>
      <c r="L6" s="22"/>
      <c r="M6" s="149">
        <v>8</v>
      </c>
      <c r="N6" s="149"/>
      <c r="O6" s="149"/>
      <c r="P6" s="149" t="s">
        <v>2828</v>
      </c>
      <c r="Q6" s="209">
        <v>2</v>
      </c>
      <c r="R6" s="209"/>
      <c r="S6" s="149"/>
      <c r="T6" s="149" t="s">
        <v>2554</v>
      </c>
      <c r="U6" s="149" t="s">
        <v>2647</v>
      </c>
      <c r="V6" s="149" t="s">
        <v>2700</v>
      </c>
      <c r="W6" s="149" t="s">
        <v>2700</v>
      </c>
      <c r="X6" s="111" t="s">
        <v>2654</v>
      </c>
      <c r="Y6" s="58"/>
      <c r="Z6" t="str">
        <f t="shared" si="0"/>
        <v>"DRUID":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v>
      </c>
    </row>
    <row r="7" spans="1:26">
      <c r="A7" s="53" t="s">
        <v>245</v>
      </c>
      <c r="B7" s="26" t="s">
        <v>291</v>
      </c>
      <c r="C7" s="26" t="s">
        <v>279</v>
      </c>
      <c r="D7" s="23">
        <v>0</v>
      </c>
      <c r="E7" s="23">
        <v>0</v>
      </c>
      <c r="F7" s="23">
        <v>0</v>
      </c>
      <c r="G7" s="23">
        <v>0</v>
      </c>
      <c r="H7" s="23">
        <v>0</v>
      </c>
      <c r="I7" s="23">
        <v>0</v>
      </c>
      <c r="J7" s="23"/>
      <c r="K7" s="23"/>
      <c r="L7" s="23"/>
      <c r="M7" s="148">
        <v>6</v>
      </c>
      <c r="N7" s="148" t="s">
        <v>1019</v>
      </c>
      <c r="O7" s="148"/>
      <c r="P7" s="148" t="s">
        <v>2829</v>
      </c>
      <c r="Q7" s="208">
        <v>1</v>
      </c>
      <c r="R7" s="208"/>
      <c r="S7" s="148"/>
      <c r="T7" s="148" t="s">
        <v>2553</v>
      </c>
      <c r="U7" s="148"/>
      <c r="V7" s="148"/>
      <c r="W7" s="148"/>
      <c r="X7" s="110" t="s">
        <v>2655</v>
      </c>
      <c r="Y7" s="58"/>
      <c r="Z7" t="str">
        <f t="shared" si="0"/>
        <v>"SORCERER":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v>
      </c>
    </row>
    <row r="8" spans="1:26">
      <c r="A8" s="48" t="s">
        <v>246</v>
      </c>
      <c r="B8" s="41" t="s">
        <v>292</v>
      </c>
      <c r="C8" s="41" t="s">
        <v>280</v>
      </c>
      <c r="D8" s="22">
        <v>0</v>
      </c>
      <c r="E8" s="22">
        <v>0</v>
      </c>
      <c r="F8" s="22">
        <v>0</v>
      </c>
      <c r="G8" s="22">
        <v>0</v>
      </c>
      <c r="H8" s="22">
        <v>0</v>
      </c>
      <c r="I8" s="22">
        <v>0</v>
      </c>
      <c r="J8" s="22"/>
      <c r="K8" s="22"/>
      <c r="L8" s="22"/>
      <c r="M8" s="149">
        <v>10</v>
      </c>
      <c r="N8" s="149"/>
      <c r="O8" s="149"/>
      <c r="P8" s="210" t="s">
        <v>3220</v>
      </c>
      <c r="Q8" s="209">
        <v>3</v>
      </c>
      <c r="R8" s="209">
        <v>1</v>
      </c>
      <c r="S8" s="149" t="s">
        <v>2555</v>
      </c>
      <c r="T8" s="149"/>
      <c r="U8" s="149" t="s">
        <v>2648</v>
      </c>
      <c r="V8" s="149"/>
      <c r="W8" s="149"/>
      <c r="X8" s="111" t="s">
        <v>2649</v>
      </c>
      <c r="Y8" s="58"/>
      <c r="Z8" t="str">
        <f t="shared" si="0"/>
        <v>"WARRIOR":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v>
      </c>
    </row>
    <row r="9" spans="1:26">
      <c r="A9" s="53" t="s">
        <v>247</v>
      </c>
      <c r="B9" s="26" t="s">
        <v>293</v>
      </c>
      <c r="C9" s="26" t="s">
        <v>281</v>
      </c>
      <c r="D9" s="23">
        <v>0</v>
      </c>
      <c r="E9" s="23">
        <v>0</v>
      </c>
      <c r="F9" s="23">
        <v>0</v>
      </c>
      <c r="G9" s="23">
        <v>0</v>
      </c>
      <c r="H9" s="23">
        <v>0</v>
      </c>
      <c r="I9" s="23">
        <v>0</v>
      </c>
      <c r="J9" s="23"/>
      <c r="K9" s="23"/>
      <c r="L9" s="23"/>
      <c r="M9" s="148">
        <v>6</v>
      </c>
      <c r="N9" s="148"/>
      <c r="O9" s="148"/>
      <c r="P9" s="148" t="s">
        <v>2831</v>
      </c>
      <c r="Q9" s="208">
        <v>2</v>
      </c>
      <c r="R9" s="208"/>
      <c r="S9" s="148"/>
      <c r="T9" s="148" t="s">
        <v>2553</v>
      </c>
      <c r="U9" s="148"/>
      <c r="V9" s="148"/>
      <c r="W9" s="148" t="s">
        <v>2702</v>
      </c>
      <c r="X9" s="110" t="s">
        <v>2654</v>
      </c>
      <c r="Y9" s="58"/>
      <c r="Z9" t="str">
        <f t="shared" si="0"/>
        <v>"MAGICIAN":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v>
      </c>
    </row>
    <row r="10" spans="1:26">
      <c r="A10" s="48" t="s">
        <v>249</v>
      </c>
      <c r="B10" s="41" t="s">
        <v>162</v>
      </c>
      <c r="C10" s="41" t="s">
        <v>282</v>
      </c>
      <c r="D10" s="22">
        <v>0</v>
      </c>
      <c r="E10" s="22">
        <v>0</v>
      </c>
      <c r="F10" s="22">
        <v>0</v>
      </c>
      <c r="G10" s="22">
        <v>0</v>
      </c>
      <c r="H10" s="22">
        <v>0</v>
      </c>
      <c r="I10" s="22">
        <v>0</v>
      </c>
      <c r="J10" s="22" t="s">
        <v>2834</v>
      </c>
      <c r="K10" s="22" t="s">
        <v>2808</v>
      </c>
      <c r="L10" s="22" t="s">
        <v>2808</v>
      </c>
      <c r="M10" s="149">
        <v>8</v>
      </c>
      <c r="N10" s="149" t="s">
        <v>163</v>
      </c>
      <c r="O10" s="149" t="s">
        <v>1021</v>
      </c>
      <c r="P10" s="149" t="s">
        <v>187</v>
      </c>
      <c r="Q10" s="209">
        <v>3</v>
      </c>
      <c r="R10" s="209"/>
      <c r="S10" s="149" t="s">
        <v>2549</v>
      </c>
      <c r="T10" s="149" t="s">
        <v>2550</v>
      </c>
      <c r="U10" s="149"/>
      <c r="V10" s="149"/>
      <c r="W10" s="149"/>
      <c r="X10" s="111" t="s">
        <v>2650</v>
      </c>
      <c r="Y10" s="58"/>
      <c r="Z10" t="str">
        <f t="shared" si="0"/>
        <v>"MONK":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v>
      </c>
    </row>
    <row r="11" spans="1:26">
      <c r="A11" s="53" t="s">
        <v>6095</v>
      </c>
      <c r="B11" s="26" t="s">
        <v>6096</v>
      </c>
      <c r="C11" s="26" t="s">
        <v>6097</v>
      </c>
      <c r="D11" s="64">
        <v>0</v>
      </c>
      <c r="E11" s="64">
        <v>0</v>
      </c>
      <c r="F11" s="64">
        <v>0</v>
      </c>
      <c r="G11" s="64">
        <v>0</v>
      </c>
      <c r="H11" s="64">
        <v>0</v>
      </c>
      <c r="I11" s="64">
        <v>0</v>
      </c>
      <c r="J11" s="64"/>
      <c r="K11" s="64"/>
      <c r="L11" s="64"/>
      <c r="M11" s="158">
        <v>8</v>
      </c>
      <c r="N11" s="158" t="s">
        <v>6099</v>
      </c>
      <c r="O11" s="158"/>
      <c r="P11" s="158" t="s">
        <v>6098</v>
      </c>
      <c r="Q11" s="384">
        <v>1</v>
      </c>
      <c r="R11" s="384"/>
      <c r="S11" s="158" t="s">
        <v>2549</v>
      </c>
      <c r="T11" s="158"/>
      <c r="U11" s="158" t="s">
        <v>2646</v>
      </c>
      <c r="V11" s="158"/>
      <c r="W11" s="158"/>
      <c r="X11" s="385" t="s">
        <v>2654</v>
      </c>
      <c r="Y11" s="58"/>
      <c r="Z11" t="str">
        <f t="shared" si="0"/>
        <v>"MYSTICAL":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v>
      </c>
    </row>
    <row r="12" spans="1:26">
      <c r="A12" s="75" t="s">
        <v>12</v>
      </c>
      <c r="B12" s="56" t="s">
        <v>283</v>
      </c>
      <c r="C12" s="56" t="s">
        <v>283</v>
      </c>
      <c r="D12" s="58">
        <v>0</v>
      </c>
      <c r="E12" s="58">
        <v>0</v>
      </c>
      <c r="F12" s="58">
        <v>0</v>
      </c>
      <c r="G12" s="58">
        <v>0</v>
      </c>
      <c r="H12" s="58">
        <v>0</v>
      </c>
      <c r="I12" s="58">
        <v>0</v>
      </c>
      <c r="J12" s="58"/>
      <c r="K12" s="58"/>
      <c r="L12" s="58"/>
      <c r="M12" s="184">
        <v>10</v>
      </c>
      <c r="N12" s="184"/>
      <c r="O12" s="184"/>
      <c r="P12" s="390" t="s">
        <v>3218</v>
      </c>
      <c r="Q12" s="391">
        <v>3</v>
      </c>
      <c r="R12" s="391">
        <v>2</v>
      </c>
      <c r="S12" s="184" t="s">
        <v>2555</v>
      </c>
      <c r="T12" s="184"/>
      <c r="U12" s="184" t="s">
        <v>2648</v>
      </c>
      <c r="V12" s="184"/>
      <c r="W12" s="184"/>
      <c r="X12" s="159" t="s">
        <v>2653</v>
      </c>
      <c r="Y12" s="58"/>
      <c r="Z12" t="str">
        <f t="shared" si="0"/>
        <v>"PALADIN":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v>
      </c>
    </row>
    <row r="13" spans="1:26">
      <c r="A13" s="53" t="s">
        <v>250</v>
      </c>
      <c r="B13" s="26" t="s">
        <v>294</v>
      </c>
      <c r="C13" s="26" t="s">
        <v>284</v>
      </c>
      <c r="D13" s="64">
        <v>0</v>
      </c>
      <c r="E13" s="64">
        <v>0</v>
      </c>
      <c r="F13" s="64">
        <v>0</v>
      </c>
      <c r="G13" s="64">
        <v>0</v>
      </c>
      <c r="H13" s="64">
        <v>0</v>
      </c>
      <c r="I13" s="64">
        <v>0</v>
      </c>
      <c r="J13" s="64"/>
      <c r="K13" s="64"/>
      <c r="L13" s="64"/>
      <c r="M13" s="158">
        <v>10</v>
      </c>
      <c r="N13" s="158"/>
      <c r="O13" s="158"/>
      <c r="P13" s="386" t="s">
        <v>3219</v>
      </c>
      <c r="Q13" s="384">
        <v>3</v>
      </c>
      <c r="R13" s="384">
        <v>2</v>
      </c>
      <c r="S13" s="158" t="s">
        <v>2555</v>
      </c>
      <c r="T13" s="158"/>
      <c r="U13" s="158" t="s">
        <v>2647</v>
      </c>
      <c r="V13" s="158" t="s">
        <v>2703</v>
      </c>
      <c r="W13" s="158" t="s">
        <v>2703</v>
      </c>
      <c r="X13" s="385" t="s">
        <v>2650</v>
      </c>
      <c r="Y13" s="58"/>
      <c r="Z13" t="str">
        <f t="shared" si="0"/>
        <v>"PROWLER":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v>
      </c>
    </row>
    <row r="14" spans="1:26">
      <c r="A14" s="75" t="s">
        <v>251</v>
      </c>
      <c r="B14" s="56" t="s">
        <v>295</v>
      </c>
      <c r="C14" s="56" t="s">
        <v>285</v>
      </c>
      <c r="D14" s="58">
        <v>0</v>
      </c>
      <c r="E14" s="58">
        <v>0</v>
      </c>
      <c r="F14" s="58">
        <v>0</v>
      </c>
      <c r="G14" s="58">
        <v>0</v>
      </c>
      <c r="H14" s="58">
        <v>0</v>
      </c>
      <c r="I14" s="58">
        <v>0</v>
      </c>
      <c r="J14" s="58"/>
      <c r="K14" s="58"/>
      <c r="L14" s="58"/>
      <c r="M14" s="184">
        <v>8</v>
      </c>
      <c r="N14" s="184"/>
      <c r="O14" s="184" t="s">
        <v>1010</v>
      </c>
      <c r="P14" s="184" t="s">
        <v>1000</v>
      </c>
      <c r="Q14" s="391">
        <v>3</v>
      </c>
      <c r="R14" s="391"/>
      <c r="S14" s="184" t="s">
        <v>2549</v>
      </c>
      <c r="T14" s="184" t="s">
        <v>2552</v>
      </c>
      <c r="U14" s="184" t="s">
        <v>2646</v>
      </c>
      <c r="V14" s="184"/>
      <c r="W14" s="184"/>
      <c r="X14" s="159" t="s">
        <v>2652</v>
      </c>
      <c r="Y14" s="58"/>
      <c r="Z14" t="str">
        <f t="shared" si="0"/>
        <v>"WILY":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v>
      </c>
    </row>
    <row r="15" spans="1:26">
      <c r="A15" s="323" t="s">
        <v>248</v>
      </c>
      <c r="B15" s="324" t="s">
        <v>296</v>
      </c>
      <c r="C15" s="324" t="s">
        <v>286</v>
      </c>
      <c r="D15" s="326">
        <v>0</v>
      </c>
      <c r="E15" s="326">
        <v>0</v>
      </c>
      <c r="F15" s="326">
        <v>0</v>
      </c>
      <c r="G15" s="326">
        <v>0</v>
      </c>
      <c r="H15" s="326">
        <v>0</v>
      </c>
      <c r="I15" s="326">
        <v>0</v>
      </c>
      <c r="J15" s="326"/>
      <c r="K15" s="326"/>
      <c r="L15" s="326"/>
      <c r="M15" s="387">
        <v>8</v>
      </c>
      <c r="N15" s="387"/>
      <c r="O15" s="387"/>
      <c r="P15" s="387" t="s">
        <v>2832</v>
      </c>
      <c r="Q15" s="388">
        <v>1</v>
      </c>
      <c r="R15" s="388"/>
      <c r="S15" s="387" t="s">
        <v>2549</v>
      </c>
      <c r="T15" s="387"/>
      <c r="U15" s="387" t="s">
        <v>2646</v>
      </c>
      <c r="V15" s="387"/>
      <c r="W15" s="387"/>
      <c r="X15" s="389" t="s">
        <v>2653</v>
      </c>
      <c r="Y15" s="58"/>
      <c r="Z15" t="str">
        <f t="shared" si="0"/>
        <v>"WIZARD":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v>
      </c>
    </row>
    <row r="16" spans="1:26">
      <c r="M16" s="109"/>
      <c r="N16" s="109"/>
      <c r="O16" s="109"/>
      <c r="P16" s="109"/>
      <c r="Q16" s="109"/>
      <c r="R16" s="109"/>
      <c r="S16" s="109"/>
      <c r="T16" s="109"/>
      <c r="U16" s="109"/>
      <c r="V16" s="109"/>
      <c r="W16" s="109"/>
      <c r="X16" s="109"/>
    </row>
    <row r="17" spans="1:26">
      <c r="Z17" t="str">
        <f>CONCATENATE(Z2,",
",Z3,",
",Z4,",
",Z5,",
",Z6,",
",Z7,",
",Z8,",
",Z9,",
",Z10,",
",Z11,",
",Z12,",
",Z13,",
",Z14,",
",Z15)</f>
        <v>"ARTIFICER":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
"BARBARIAN":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
"BARD":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
"CLERK":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
"DRUID":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
"SORCERER":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
"WARRIOR":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
"MAGICIAN":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
"MONK":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
"MYSTICAL":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
"PALADIN":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
"PROWLER":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
"WILY":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
"WIZARD":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v>
      </c>
    </row>
    <row r="18" spans="1:26">
      <c r="A18" s="211" t="s">
        <v>312</v>
      </c>
      <c r="B18" s="212" t="s">
        <v>2837</v>
      </c>
      <c r="C18" s="212" t="s">
        <v>2824</v>
      </c>
      <c r="D18" s="404" t="s">
        <v>1036</v>
      </c>
      <c r="E18" s="405"/>
      <c r="F18" s="213" t="s">
        <v>2835</v>
      </c>
      <c r="G18" s="214"/>
      <c r="H18" s="108" t="s">
        <v>1075</v>
      </c>
    </row>
    <row r="19" spans="1:26">
      <c r="A19" s="372" t="s">
        <v>6043</v>
      </c>
      <c r="B19" s="239" t="s">
        <v>5948</v>
      </c>
      <c r="C19" s="239" t="s">
        <v>6044</v>
      </c>
      <c r="D19" s="414">
        <v>0</v>
      </c>
      <c r="E19" s="414"/>
      <c r="F19" s="239"/>
      <c r="G19" s="373"/>
      <c r="H19" s="54" t="s">
        <v>6045</v>
      </c>
      <c r="I19" t="str">
        <f t="shared" ref="I19:I21" si="1">""""&amp;A19&amp;""":  {
 ""Code"" : """&amp;A19&amp;""",
 ""Class"" : """&amp;B19&amp;""",
 ""Name"" : """&amp;C19&amp;""",
 "&amp;IF(ISBLANK(F19),"","""ACBonusArmor"" : "&amp;F19&amp;",")
&amp;" ""ACBonus"" : "&amp;D19&amp;",
 ""Description"" : """&amp;H19&amp;"""
  }"</f>
        <v>"ALCHEMIST":  {
 "Code" : "ALCHEMIST",
 "Class" : "ARTIFICER",
 "Name" : "Alchimiste",
  "ACBonus" : 0,
 "Description" : "Un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
  }</v>
      </c>
    </row>
    <row r="20" spans="1:26">
      <c r="A20" s="372" t="s">
        <v>6047</v>
      </c>
      <c r="B20" s="239" t="s">
        <v>5948</v>
      </c>
      <c r="C20" s="239" t="s">
        <v>6046</v>
      </c>
      <c r="D20" s="414">
        <v>0</v>
      </c>
      <c r="E20" s="414"/>
      <c r="F20" s="239"/>
      <c r="G20" s="373"/>
      <c r="H20" s="54" t="s">
        <v>6048</v>
      </c>
      <c r="I20" t="str">
        <f t="shared" si="1"/>
        <v>"GUNNER":  {
 "Code" : "GUNNER",
 "Class" : "ARTIFICER",
 "Name" : "Artilleur",
  "ACBonus" : 0,
 "Description" : "Un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
  }</v>
      </c>
    </row>
    <row r="21" spans="1:26">
      <c r="A21" s="372" t="s">
        <v>6049</v>
      </c>
      <c r="B21" s="239" t="s">
        <v>5948</v>
      </c>
      <c r="C21" s="239" t="s">
        <v>6050</v>
      </c>
      <c r="D21" s="414">
        <v>0</v>
      </c>
      <c r="E21" s="414"/>
      <c r="F21" s="239"/>
      <c r="G21" s="373"/>
      <c r="H21" s="54" t="s">
        <v>6051</v>
      </c>
      <c r="I21" t="str">
        <f t="shared" si="1"/>
        <v>"BLACKSMITH":  {
 "Code" : "BLACKSMITH",
 "Class" : "ARTIFICER",
 "Name" : "Forgeron de guerre",
  "ACBonus" : 0,
 "Description" : "Les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
  }</v>
      </c>
    </row>
    <row r="22" spans="1:26">
      <c r="A22" s="53" t="s">
        <v>2850</v>
      </c>
      <c r="B22" s="54" t="s">
        <v>241</v>
      </c>
      <c r="C22" s="54" t="s">
        <v>2838</v>
      </c>
      <c r="D22" s="406">
        <v>0</v>
      </c>
      <c r="E22" s="406"/>
      <c r="F22" s="407"/>
      <c r="G22" s="407"/>
      <c r="H22" s="54" t="s">
        <v>3313</v>
      </c>
      <c r="I22" t="str">
        <f>""""&amp;A22&amp;""":  {
 ""Code"" : """&amp;A22&amp;""",
 ""Class"" : """&amp;B22&amp;""",
 ""Name"" : """&amp;C22&amp;""",
 "&amp;IF(ISBLANK(F22),"","""ACBonusArmor"" : "&amp;F22&amp;",")
&amp;" ""ACBonus"" : "&amp;D22&amp;",
 ""Description"" : """&amp;H22&amp;"""
  }"</f>
        <v>"BERSERKER":  {
 "Code" : "BERSERKER",
 "Class" : "BARBARIAN",
 "Name" : "Voie du berserker",
  "ACBonus" : 0,
 "Description" : "Pour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
  }</v>
      </c>
    </row>
    <row r="23" spans="1:26">
      <c r="A23" s="53" t="s">
        <v>2851</v>
      </c>
      <c r="B23" s="54" t="s">
        <v>241</v>
      </c>
      <c r="C23" s="54" t="s">
        <v>2839</v>
      </c>
      <c r="D23" s="406">
        <v>0</v>
      </c>
      <c r="E23" s="406"/>
      <c r="F23" s="407"/>
      <c r="G23" s="407"/>
      <c r="H23" s="54" t="s">
        <v>3314</v>
      </c>
      <c r="I23" t="str">
        <f t="shared" ref="I23:I69" si="2">""""&amp;A23&amp;""":  {
 ""Code"" : """&amp;A23&amp;""",
 ""Class"" : """&amp;B23&amp;""",
 ""Name"" : """&amp;C23&amp;""",
 "&amp;IF(ISBLANK(F23),"","""ACBonusArmor"" : "&amp;F23&amp;",")
&amp;" ""ACBonus"" : "&amp;D23&amp;",
 ""Description"" : """&amp;H23&amp;"""
  }"</f>
        <v>"TOTEM_WARRIOR":  {
 "Code" : "TOTEM_WARRIOR",
 "Class" : "BARBARIAN",
 "Name" : "Voie du guerrier totem",
  "ACBonus" : 0,
 "Description" : "La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
  }</v>
      </c>
    </row>
    <row r="24" spans="1:26">
      <c r="A24" s="48" t="s">
        <v>2858</v>
      </c>
      <c r="B24" s="18" t="s">
        <v>242</v>
      </c>
      <c r="C24" s="18" t="s">
        <v>2840</v>
      </c>
      <c r="D24" s="412">
        <v>0</v>
      </c>
      <c r="E24" s="412"/>
      <c r="F24" s="410"/>
      <c r="G24" s="410"/>
      <c r="H24" s="55" t="s">
        <v>3315</v>
      </c>
      <c r="I24" t="str">
        <f t="shared" si="2"/>
        <v>"KNOWLEDGE_SCHOOL":  {
 "Code" : "KNOWLEDGE_SCHOOL",
 "Class" : "BARD",
 "Name" : "Collège du savoir",
  "ACBonus" : 0,
 "Description" : "Les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
  }</v>
      </c>
    </row>
    <row r="25" spans="1:26">
      <c r="A25" s="48" t="s">
        <v>2852</v>
      </c>
      <c r="B25" s="18" t="s">
        <v>242</v>
      </c>
      <c r="C25" s="18" t="s">
        <v>2841</v>
      </c>
      <c r="D25" s="412">
        <v>0</v>
      </c>
      <c r="E25" s="412"/>
      <c r="F25" s="410"/>
      <c r="G25" s="410"/>
      <c r="H25" s="55" t="s">
        <v>3316</v>
      </c>
      <c r="I25" t="str">
        <f t="shared" si="2"/>
        <v>"BRAVERY_SCHOOL":  {
 "Code" : "BRAVERY_SCHOOL",
 "Class" : "BARD",
 "Name" : "Collège de la vaillance",
  "ACBonus" : 0,
 "Description" : "Les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
  }</v>
      </c>
    </row>
    <row r="26" spans="1:26">
      <c r="A26" s="53" t="s">
        <v>2853</v>
      </c>
      <c r="B26" s="54" t="s">
        <v>243</v>
      </c>
      <c r="C26" s="54" t="s">
        <v>2842</v>
      </c>
      <c r="D26" s="406">
        <v>0</v>
      </c>
      <c r="E26" s="406"/>
      <c r="F26" s="407"/>
      <c r="G26" s="407"/>
      <c r="H26" s="54" t="s">
        <v>3347</v>
      </c>
      <c r="I26" t="str">
        <f t="shared" si="2"/>
        <v>"DECEPTION_FIELD":  {
 "Code" : "DECEPTION_FIELD",
 "Class" : "CLERK",
 "Name" : "Domaine de la duperie",
  "ACBonus" : 0,
 "Description" : "Les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
  }</v>
      </c>
    </row>
    <row r="27" spans="1:26">
      <c r="A27" s="53" t="s">
        <v>2854</v>
      </c>
      <c r="B27" s="54" t="s">
        <v>243</v>
      </c>
      <c r="C27" s="54" t="s">
        <v>2843</v>
      </c>
      <c r="D27" s="406">
        <v>0</v>
      </c>
      <c r="E27" s="406"/>
      <c r="F27" s="413"/>
      <c r="G27" s="407"/>
      <c r="H27" s="54" t="s">
        <v>3348</v>
      </c>
      <c r="I27" t="str">
        <f t="shared" si="2"/>
        <v>"WAR_FIELD":  {
 "Code" : "WAR_FIELD",
 "Class" : "CLERK",
 "Name" : "Domaine de la guerre",
  "ACBonus" : 0,
 "Description" : "La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
  }</v>
      </c>
    </row>
    <row r="28" spans="1:26">
      <c r="A28" s="53" t="s">
        <v>2855</v>
      </c>
      <c r="B28" s="54" t="s">
        <v>243</v>
      </c>
      <c r="C28" s="54" t="s">
        <v>2844</v>
      </c>
      <c r="D28" s="406">
        <v>0</v>
      </c>
      <c r="E28" s="406"/>
      <c r="F28" s="413"/>
      <c r="G28" s="407"/>
      <c r="H28" s="54" t="s">
        <v>3349</v>
      </c>
      <c r="I28" t="str">
        <f t="shared" si="2"/>
        <v>"LIGHT_FIELD":  {
 "Code" : "LIGHT_FIELD",
 "Class" : "CLERK",
 "Name" : "Domaine de la lumière",
  "ACBonus" : 0,
 "Description" : "Les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
  }</v>
      </c>
    </row>
    <row r="29" spans="1:26">
      <c r="A29" s="53" t="s">
        <v>2856</v>
      </c>
      <c r="B29" s="54" t="s">
        <v>243</v>
      </c>
      <c r="C29" s="54" t="s">
        <v>2845</v>
      </c>
      <c r="D29" s="406">
        <v>0</v>
      </c>
      <c r="E29" s="406"/>
      <c r="F29" s="407"/>
      <c r="G29" s="407"/>
      <c r="H29" s="54" t="s">
        <v>3350</v>
      </c>
      <c r="I29" t="str">
        <f t="shared" si="2"/>
        <v>"NATURE_FIELD":  {
 "Code" : "NATURE_FIELD",
 "Class" : "CLERK",
 "Name" : "Domaine de la nature",
  "ACBonus" : 0,
 "Description" : "Les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
  }</v>
      </c>
    </row>
    <row r="30" spans="1:26">
      <c r="A30" s="53" t="s">
        <v>2857</v>
      </c>
      <c r="B30" s="54" t="s">
        <v>243</v>
      </c>
      <c r="C30" s="54" t="s">
        <v>2846</v>
      </c>
      <c r="D30" s="406">
        <v>0</v>
      </c>
      <c r="E30" s="406"/>
      <c r="F30" s="407"/>
      <c r="G30" s="407"/>
      <c r="H30" s="54" t="s">
        <v>3351</v>
      </c>
      <c r="I30" t="str">
        <f t="shared" si="2"/>
        <v>"KNOWLEDGE_FIELD":  {
 "Code" : "KNOWLEDGE_FIELD",
 "Class" : "CLERK",
 "Name" : "Domaine du savoir",
  "ACBonus" : 0,
 "Description" : "Les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
  }</v>
      </c>
    </row>
    <row r="31" spans="1:26">
      <c r="A31" s="53" t="s">
        <v>2859</v>
      </c>
      <c r="B31" s="54" t="s">
        <v>243</v>
      </c>
      <c r="C31" s="54" t="s">
        <v>2847</v>
      </c>
      <c r="D31" s="406">
        <v>0</v>
      </c>
      <c r="E31" s="406"/>
      <c r="F31" s="407"/>
      <c r="G31" s="407"/>
      <c r="H31" s="54" t="s">
        <v>3352</v>
      </c>
      <c r="I31" t="str">
        <f t="shared" si="2"/>
        <v>"STORM_FIELD":  {
 "Code" : "STORM_FIELD",
 "Class" : "CLERK",
 "Name" : "Domaine de la tempête",
  "ACBonus" : 0,
 "Description" : "Les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
  }</v>
      </c>
    </row>
    <row r="32" spans="1:26">
      <c r="A32" s="53" t="s">
        <v>2860</v>
      </c>
      <c r="B32" s="54" t="s">
        <v>243</v>
      </c>
      <c r="C32" s="54" t="s">
        <v>2848</v>
      </c>
      <c r="D32" s="406">
        <v>0</v>
      </c>
      <c r="E32" s="406"/>
      <c r="F32" s="407"/>
      <c r="G32" s="407"/>
      <c r="H32" s="54" t="s">
        <v>3353</v>
      </c>
      <c r="I32" t="str">
        <f t="shared" si="2"/>
        <v>"LIFE_FIELD":  {
 "Code" : "LIFE_FIELD",
 "Class" : "CLERK",
 "Name" : "Domaine de la vie",
  "ACBonus" : 0,
 "Description" : "Le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
  }</v>
      </c>
    </row>
    <row r="33" spans="1:9">
      <c r="A33" s="53" t="s">
        <v>2861</v>
      </c>
      <c r="B33" s="54" t="s">
        <v>243</v>
      </c>
      <c r="C33" s="54" t="s">
        <v>2849</v>
      </c>
      <c r="D33" s="406">
        <v>0</v>
      </c>
      <c r="E33" s="406"/>
      <c r="F33" s="407"/>
      <c r="G33" s="407"/>
      <c r="H33" s="54" t="s">
        <v>3354</v>
      </c>
      <c r="I33" t="str">
        <f t="shared" si="2"/>
        <v>"FORGE_FIELD":  {
 "Code" : "FORGE_FIELD",
 "Class" : "CLERK",
 "Name" : "Domaine de la forge",
  "ACBonus" : 0,
 "Description" : "Les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
  }</v>
      </c>
    </row>
    <row r="34" spans="1:9">
      <c r="A34" s="48" t="s">
        <v>2864</v>
      </c>
      <c r="B34" s="18" t="s">
        <v>244</v>
      </c>
      <c r="C34" s="55" t="s">
        <v>2862</v>
      </c>
      <c r="D34" s="412">
        <v>0</v>
      </c>
      <c r="E34" s="412"/>
      <c r="F34" s="410"/>
      <c r="G34" s="410"/>
      <c r="H34" s="55" t="s">
        <v>3443</v>
      </c>
      <c r="I34" t="str">
        <f t="shared" si="2"/>
        <v>"EARTH_GROUP":  {
 "Code" : "EARTH_GROUP",
 "Class" : "DRUID",
 "Name" : "Cercle de la terre",
  "ACBonus" : 0,
 "Description" : "Le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
  }</v>
      </c>
    </row>
    <row r="35" spans="1:9">
      <c r="A35" s="48" t="s">
        <v>2865</v>
      </c>
      <c r="B35" s="18" t="s">
        <v>244</v>
      </c>
      <c r="C35" s="55" t="s">
        <v>2863</v>
      </c>
      <c r="D35" s="412">
        <v>0</v>
      </c>
      <c r="E35" s="412"/>
      <c r="F35" s="410"/>
      <c r="G35" s="410"/>
      <c r="H35" s="55" t="s">
        <v>3442</v>
      </c>
      <c r="I35" t="str">
        <f t="shared" si="2"/>
        <v>"MOON_GROUP":  {
 "Code" : "MOON_GROUP",
 "Class" : "DRUID",
 "Name" : "Cercle de la lune",
  "ACBonus" : 0,
 "Description" : "Les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
  }</v>
      </c>
    </row>
    <row r="36" spans="1:9">
      <c r="A36" s="53" t="s">
        <v>235</v>
      </c>
      <c r="B36" s="54" t="s">
        <v>245</v>
      </c>
      <c r="C36" s="54" t="s">
        <v>2866</v>
      </c>
      <c r="D36" s="406">
        <v>3</v>
      </c>
      <c r="E36" s="406"/>
      <c r="F36" s="407" t="s">
        <v>2808</v>
      </c>
      <c r="G36" s="407"/>
      <c r="H36" s="54" t="s">
        <v>3444</v>
      </c>
      <c r="I36" t="str">
        <f t="shared" si="2"/>
        <v>"DRAGON_BORN":  {
 "Code" : "DRAGON_BORN",
 "Class" : "SORCERER",
 "Name" : "Lignée draconique",
 "ACBonusArmor" : false, "ACBonus" : 3,
 "Description" : "Votre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
  }</v>
      </c>
    </row>
    <row r="37" spans="1:9">
      <c r="A37" s="53" t="s">
        <v>2868</v>
      </c>
      <c r="B37" s="54" t="s">
        <v>245</v>
      </c>
      <c r="C37" s="54" t="s">
        <v>2867</v>
      </c>
      <c r="D37" s="406">
        <v>0</v>
      </c>
      <c r="E37" s="406"/>
      <c r="F37" s="407"/>
      <c r="G37" s="407"/>
      <c r="H37" s="54" t="s">
        <v>3445</v>
      </c>
      <c r="I37" t="str">
        <f t="shared" si="2"/>
        <v>"WILD_MAGIC":  {
 "Code" : "WILD_MAGIC",
 "Class" : "SORCERER",
 "Name" : "Magie sauvage",
  "ACBonus" : 0,
 "Description" : "Votre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
  }</v>
      </c>
    </row>
    <row r="38" spans="1:9">
      <c r="A38" s="238" t="s">
        <v>3239</v>
      </c>
      <c r="B38" s="239" t="s">
        <v>246</v>
      </c>
      <c r="C38" s="239" t="s">
        <v>3240</v>
      </c>
      <c r="D38" s="400">
        <v>0</v>
      </c>
      <c r="E38" s="400"/>
      <c r="F38" s="237"/>
      <c r="G38" s="217"/>
      <c r="H38" s="55" t="s">
        <v>3446</v>
      </c>
      <c r="I38" t="str">
        <f t="shared" si="2"/>
        <v>"CHAMPION":  {
 "Code" : "CHAMPION",
 "Class" : "WARRIOR",
 "Name" : "Champion",
  "ACBonus" : 0,
 "Description" : "L'archétype du champion se concentre sur le développement du pouvoir physique brut pour parvenir à la perfection mortelle. Ceux qui se basent sur cet archétype combinent une formation rigoureuse et une excellence physique pour porter des coups dévastateurs."
  }</v>
      </c>
    </row>
    <row r="39" spans="1:9">
      <c r="A39" s="238" t="s">
        <v>3241</v>
      </c>
      <c r="B39" s="239" t="s">
        <v>246</v>
      </c>
      <c r="C39" s="239" t="s">
        <v>3243</v>
      </c>
      <c r="D39" s="400">
        <v>0</v>
      </c>
      <c r="E39" s="400"/>
      <c r="F39" s="237"/>
      <c r="G39" s="217"/>
      <c r="H39" s="55" t="s">
        <v>3447</v>
      </c>
      <c r="I39" t="str">
        <f t="shared" si="2"/>
        <v>"WAR_MASTER":  {
 "Code" : "WAR_MASTER",
 "Class" : "WARRIOR",
 "Name" : "Maître de guerre",
  "ACBonus" : 0,
 "Description" : "Vous êtes un expert des manœuvres durant la bataille. Vous comptez sur la ruse et la prouesse pour vaincre vos ennemis. Une formation intense combinée à une attention constante vous propulse au combat. La victoire est un signe de plus de la suprématie martiale."
  }</v>
      </c>
    </row>
    <row r="40" spans="1:9">
      <c r="A40" s="238" t="s">
        <v>3242</v>
      </c>
      <c r="B40" s="239" t="s">
        <v>246</v>
      </c>
      <c r="C40" s="239" t="s">
        <v>3244</v>
      </c>
      <c r="D40" s="400">
        <v>0</v>
      </c>
      <c r="E40" s="400"/>
      <c r="F40" s="237"/>
      <c r="G40" s="217"/>
      <c r="H40" s="55" t="s">
        <v>3448</v>
      </c>
      <c r="I40" t="str">
        <f t="shared" si="2"/>
        <v>"OCCULT_KNIGHT":  {
 "Code" : "OCCULT_KNIGHT",
 "Class" : "WARRIOR",
 "Name" : "Chevalier occulte",
  "ACBonus" : 0,
 "Description" : "L’archétype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
  }</v>
      </c>
    </row>
    <row r="41" spans="1:9">
      <c r="A41" s="53" t="s">
        <v>2953</v>
      </c>
      <c r="B41" s="54" t="s">
        <v>247</v>
      </c>
      <c r="C41" s="54" t="s">
        <v>2881</v>
      </c>
      <c r="D41" s="406">
        <v>0</v>
      </c>
      <c r="E41" s="406"/>
      <c r="F41" s="407"/>
      <c r="G41" s="407"/>
      <c r="H41" s="54" t="s">
        <v>3449</v>
      </c>
      <c r="I41" t="str">
        <f t="shared" si="2"/>
        <v>"ABJURATION":  {
 "Code" : "ABJURATION",
 "Class" : "MAGICIAN",
 "Name" : "Abjuration",
  "ACBonus" : 0,
 "Description" : "L'école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
  }</v>
      </c>
    </row>
    <row r="42" spans="1:9">
      <c r="A42" s="53" t="s">
        <v>2899</v>
      </c>
      <c r="B42" s="54" t="s">
        <v>247</v>
      </c>
      <c r="C42" s="54" t="s">
        <v>1513</v>
      </c>
      <c r="D42" s="406">
        <v>0</v>
      </c>
      <c r="E42" s="406"/>
      <c r="F42" s="407"/>
      <c r="G42" s="407"/>
      <c r="H42" s="54" t="s">
        <v>3450</v>
      </c>
      <c r="I42" t="str">
        <f t="shared" si="2"/>
        <v>"DIVINATION":  {
 "Code" : "DIVINATION",
 "Class" : "MAGICIAN",
 "Name" : "Divination",
  "ACBonus" : 0,
 "Description" : "Les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
  }</v>
      </c>
    </row>
    <row r="43" spans="1:9">
      <c r="A43" s="53" t="s">
        <v>2900</v>
      </c>
      <c r="B43" s="54" t="s">
        <v>247</v>
      </c>
      <c r="C43" s="54" t="s">
        <v>2882</v>
      </c>
      <c r="D43" s="406">
        <v>0</v>
      </c>
      <c r="E43" s="406"/>
      <c r="F43" s="407"/>
      <c r="G43" s="407"/>
      <c r="H43" s="54" t="s">
        <v>3451</v>
      </c>
      <c r="I43" t="str">
        <f t="shared" si="2"/>
        <v>"ENCHANTMENT":  {
 "Code" : "ENCHANTMENT",
 "Class" : "MAGICIAN",
 "Name" : "Enchantement",
  "ACBonus" : 0,
 "Description" : "En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
  }</v>
      </c>
    </row>
    <row r="44" spans="1:9">
      <c r="A44" s="53" t="s">
        <v>2901</v>
      </c>
      <c r="B44" s="54" t="s">
        <v>247</v>
      </c>
      <c r="C44" s="54" t="s">
        <v>2883</v>
      </c>
      <c r="D44" s="406">
        <v>0</v>
      </c>
      <c r="E44" s="406"/>
      <c r="F44" s="407"/>
      <c r="G44" s="407"/>
      <c r="H44" s="54" t="s">
        <v>3452</v>
      </c>
      <c r="I44" t="str">
        <f t="shared" si="2"/>
        <v>"EVOCATION":  {
 "Code" : "EVOCATION",
 "Class" : "MAGICIAN",
 "Name" : "Evocation",
  "ACBonus" : 0,
 "Description" : "Vous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
  }</v>
      </c>
    </row>
    <row r="45" spans="1:9">
      <c r="A45" s="53" t="s">
        <v>2952</v>
      </c>
      <c r="B45" s="54" t="s">
        <v>247</v>
      </c>
      <c r="C45" s="54" t="s">
        <v>2884</v>
      </c>
      <c r="D45" s="406">
        <v>0</v>
      </c>
      <c r="E45" s="406"/>
      <c r="F45" s="407"/>
      <c r="G45" s="407"/>
      <c r="H45" s="54" t="s">
        <v>3453</v>
      </c>
      <c r="I45" t="str">
        <f t="shared" si="2"/>
        <v>"ILLUSION":  {
 "Code" : "ILLUSION",
 "Class" : "MAGICIAN",
 "Name" : "Illusion",
  "ACBonus" : 0,
 "Description" : "Vous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
  }</v>
      </c>
    </row>
    <row r="46" spans="1:9">
      <c r="A46" s="53" t="s">
        <v>2902</v>
      </c>
      <c r="B46" s="54" t="s">
        <v>247</v>
      </c>
      <c r="C46" s="54" t="s">
        <v>2885</v>
      </c>
      <c r="D46" s="406">
        <v>0</v>
      </c>
      <c r="E46" s="406"/>
      <c r="F46" s="407"/>
      <c r="G46" s="407"/>
      <c r="H46" s="54" t="s">
        <v>3454</v>
      </c>
      <c r="I46" t="str">
        <f t="shared" si="2"/>
        <v>"INVOCATION":  {
 "Code" : "INVOCATION",
 "Class" : "MAGICIAN",
 "Name" : "Invocation",
  "ACBonus" : 0,
 "Description" : "En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
  }</v>
      </c>
    </row>
    <row r="47" spans="1:9">
      <c r="A47" s="53" t="s">
        <v>2903</v>
      </c>
      <c r="B47" s="54" t="s">
        <v>247</v>
      </c>
      <c r="C47" s="54" t="s">
        <v>2886</v>
      </c>
      <c r="D47" s="406">
        <v>0</v>
      </c>
      <c r="E47" s="406"/>
      <c r="F47" s="407"/>
      <c r="G47" s="407"/>
      <c r="H47" s="54" t="s">
        <v>3455</v>
      </c>
      <c r="I47" t="str">
        <f t="shared" si="2"/>
        <v>"NECROMANCY":  {
 "Code" : "NECROMANCY",
 "Class" : "MAGICIAN",
 "Name" : "Nécromancie ",
  "ACBonus" : 0,
 "Description" : "L'école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
  }</v>
      </c>
    </row>
    <row r="48" spans="1:9">
      <c r="A48" s="53" t="s">
        <v>2904</v>
      </c>
      <c r="B48" s="54" t="s">
        <v>247</v>
      </c>
      <c r="C48" s="54" t="s">
        <v>2887</v>
      </c>
      <c r="D48" s="406">
        <v>0</v>
      </c>
      <c r="E48" s="406"/>
      <c r="F48" s="407"/>
      <c r="G48" s="407"/>
      <c r="H48" s="54" t="s">
        <v>3456</v>
      </c>
      <c r="I48" t="str">
        <f t="shared" si="2"/>
        <v>"TRANSMUTATION":  {
 "Code" : "TRANSMUTATION",
 "Class" : "MAGICIAN",
 "Name" : "Transmutation",
  "ACBonus" : 0,
 "Description" : "Vous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
  }</v>
      </c>
    </row>
    <row r="49" spans="1:9">
      <c r="A49" s="48" t="s">
        <v>2888</v>
      </c>
      <c r="B49" s="18" t="s">
        <v>249</v>
      </c>
      <c r="C49" s="55" t="s">
        <v>207</v>
      </c>
      <c r="D49" s="412">
        <v>0</v>
      </c>
      <c r="E49" s="412"/>
      <c r="F49" s="410"/>
      <c r="G49" s="410"/>
      <c r="H49" s="55" t="s">
        <v>208</v>
      </c>
      <c r="I49" t="str">
        <f t="shared" si="2"/>
        <v>"OPENED_HAND_WAY":  {
 "Code" : "OPENED_HAND_WAY",
 "Class" : "MONK",
 "Name" : "Voie de la main ouverte",
  "ACBonus" : 0,
 "Description" : "Les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
  }</v>
      </c>
    </row>
    <row r="50" spans="1:9">
      <c r="A50" s="48" t="s">
        <v>2889</v>
      </c>
      <c r="B50" s="18" t="s">
        <v>249</v>
      </c>
      <c r="C50" s="55" t="s">
        <v>215</v>
      </c>
      <c r="D50" s="412">
        <v>0</v>
      </c>
      <c r="E50" s="412"/>
      <c r="F50" s="410"/>
      <c r="G50" s="410"/>
      <c r="H50" s="55" t="s">
        <v>216</v>
      </c>
      <c r="I50" t="str">
        <f t="shared" si="2"/>
        <v>"SHADOW_WAY":  {
 "Code" : "SHADOW_WAY",
 "Class" : "MONK",
 "Name" : "Voie de l'ombre",
  "ACBonus" : 0,
 "Description" : "Les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
  }</v>
      </c>
    </row>
    <row r="51" spans="1:9">
      <c r="A51" s="48" t="s">
        <v>2890</v>
      </c>
      <c r="B51" s="18" t="s">
        <v>249</v>
      </c>
      <c r="C51" s="55" t="s">
        <v>224</v>
      </c>
      <c r="D51" s="412">
        <v>0</v>
      </c>
      <c r="E51" s="412"/>
      <c r="F51" s="410"/>
      <c r="G51" s="410"/>
      <c r="H51" s="55" t="s">
        <v>225</v>
      </c>
      <c r="I51" t="str">
        <f t="shared" si="2"/>
        <v>"ELEMENTS_WAY":  {
 "Code" : "ELEMENTS_WAY",
 "Class" : "MONK",
 "Name" : "Voie des quatre éléments",
  "ACBonus" : 0,
 "Description" : "Vous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
  }</v>
      </c>
    </row>
    <row r="52" spans="1:9">
      <c r="A52" s="53" t="s">
        <v>6112</v>
      </c>
      <c r="B52" s="54" t="s">
        <v>6095</v>
      </c>
      <c r="C52" s="54" t="s">
        <v>6113</v>
      </c>
      <c r="D52" s="406">
        <v>0</v>
      </c>
      <c r="E52" s="406"/>
      <c r="F52" s="368"/>
      <c r="G52" s="367"/>
      <c r="H52" s="54" t="s">
        <v>6124</v>
      </c>
      <c r="I52" t="str">
        <f t="shared" si="2"/>
        <v>"AVATAR_ORDER":  {
 "Code" : "AVATAR_ORDER",
 "Class" : "MYSTICAL",
 "Name" : "Ordre de l'Avatar",
  "ACBonus" : 0,
 "Description" : "Les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
  }</v>
      </c>
    </row>
    <row r="53" spans="1:9">
      <c r="A53" s="53" t="s">
        <v>6115</v>
      </c>
      <c r="B53" s="54" t="s">
        <v>6095</v>
      </c>
      <c r="C53" s="54" t="s">
        <v>6114</v>
      </c>
      <c r="D53" s="406">
        <v>0</v>
      </c>
      <c r="E53" s="406"/>
      <c r="F53" s="368"/>
      <c r="G53" s="367"/>
      <c r="H53" s="54" t="s">
        <v>6125</v>
      </c>
      <c r="I53" t="str">
        <f t="shared" si="2"/>
        <v>"AWAKENED_ORDER":  {
 "Code" : "AWAKENED_ORDER",
 "Class" : "MYSTICAL",
 "Name" : "Ordre des Éveillés",
  "ACBonus" : 0,
 "Description" : "Les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
  }</v>
      </c>
    </row>
    <row r="54" spans="1:9">
      <c r="A54" s="53" t="s">
        <v>6117</v>
      </c>
      <c r="B54" s="54" t="s">
        <v>6095</v>
      </c>
      <c r="C54" s="54" t="s">
        <v>6116</v>
      </c>
      <c r="D54" s="406">
        <v>0</v>
      </c>
      <c r="E54" s="406"/>
      <c r="F54" s="368"/>
      <c r="G54" s="367"/>
      <c r="H54" s="54" t="s">
        <v>6126</v>
      </c>
      <c r="I54" t="str">
        <f t="shared" si="2"/>
        <v>"IMMORTALS_ORDER":  {
 "Code" : "IMMORTALS_ORDER",
 "Class" : "MYSTICAL",
 "Name" : "Ordre des Immortels",
  "ACBonus" : 0,
 "Description" : "L'ordre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
  }</v>
      </c>
    </row>
    <row r="55" spans="1:9">
      <c r="A55" s="53" t="s">
        <v>6119</v>
      </c>
      <c r="B55" s="54" t="s">
        <v>6095</v>
      </c>
      <c r="C55" s="54" t="s">
        <v>6118</v>
      </c>
      <c r="D55" s="406">
        <v>0</v>
      </c>
      <c r="E55" s="406"/>
      <c r="F55" s="368"/>
      <c r="G55" s="367"/>
      <c r="H55" s="54" t="s">
        <v>6127</v>
      </c>
      <c r="I55" t="str">
        <f t="shared" si="2"/>
        <v>"NOMAD_ORDER":  {
 "Code" : "NOMAD_ORDER",
 "Class" : "MYSTICAL",
 "Name" : "Ordre du Nomade",
  "ACBonus" : 0,
 "Description" : "Les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
  }</v>
      </c>
    </row>
    <row r="56" spans="1:9">
      <c r="A56" s="53" t="s">
        <v>6121</v>
      </c>
      <c r="B56" s="54" t="s">
        <v>6095</v>
      </c>
      <c r="C56" s="54" t="s">
        <v>6120</v>
      </c>
      <c r="D56" s="406">
        <v>0</v>
      </c>
      <c r="E56" s="406"/>
      <c r="F56" s="368"/>
      <c r="G56" s="367"/>
      <c r="H56" s="54" t="s">
        <v>6128</v>
      </c>
      <c r="I56" t="str">
        <f t="shared" si="2"/>
        <v>"SHARP_SOUL_ORDER":  {
 "Code" : "SHARP_SOUL_ORDER",
 "Class" : "MYSTICAL",
 "Name" : "Ordre de l'Âme acérée",
  "ACBonus" : 0,
 "Description" : "L'ordre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
  }</v>
      </c>
    </row>
    <row r="57" spans="1:9">
      <c r="A57" s="53" t="s">
        <v>6123</v>
      </c>
      <c r="B57" s="54" t="s">
        <v>6095</v>
      </c>
      <c r="C57" s="54" t="s">
        <v>6122</v>
      </c>
      <c r="D57" s="406">
        <v>0</v>
      </c>
      <c r="E57" s="406"/>
      <c r="F57" s="368"/>
      <c r="G57" s="367"/>
      <c r="H57" s="54" t="s">
        <v>6129</v>
      </c>
      <c r="I57" t="str">
        <f t="shared" si="2"/>
        <v>"WU_JEN_ORDER":  {
 "Code" : "WU_JEN_ORDER",
 "Class" : "MYSTICAL",
 "Name" : "Ordre du Wu Jen",
  "ACBonus" : 0,
 "Description" : "L'ordre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
  }</v>
      </c>
    </row>
    <row r="58" spans="1:9">
      <c r="A58" s="75" t="s">
        <v>3222</v>
      </c>
      <c r="B58" s="55" t="s">
        <v>12</v>
      </c>
      <c r="C58" s="55" t="s">
        <v>3221</v>
      </c>
      <c r="D58" s="414">
        <v>0</v>
      </c>
      <c r="E58" s="414"/>
      <c r="F58" s="392"/>
      <c r="G58" s="393"/>
      <c r="H58" s="55" t="s">
        <v>3457</v>
      </c>
      <c r="I58" t="str">
        <f t="shared" si="2"/>
        <v>"DEVOTION":  {
 "Code" : "DEVOTION",
 "Class" : "PALADIN",
 "Name" : "Serment de dévotion",
  "ACBonus" : 0,
 "Description" : "Le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
  }</v>
      </c>
    </row>
    <row r="59" spans="1:9">
      <c r="A59" s="75" t="s">
        <v>3228</v>
      </c>
      <c r="B59" s="55" t="s">
        <v>12</v>
      </c>
      <c r="C59" s="55" t="s">
        <v>3229</v>
      </c>
      <c r="D59" s="414">
        <v>0</v>
      </c>
      <c r="E59" s="414"/>
      <c r="F59" s="392"/>
      <c r="G59" s="393"/>
      <c r="H59" s="55" t="s">
        <v>3458</v>
      </c>
      <c r="I59" t="str">
        <f t="shared" si="2"/>
        <v>"OLD":  {
 "Code" : "OLD",
 "Class" : "PALADIN",
 "Name" : "Serment des anciens",
  "ACBonus" : 0,
 "Description" : "Le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
  }</v>
      </c>
    </row>
    <row r="60" spans="1:9">
      <c r="A60" s="75" t="s">
        <v>3233</v>
      </c>
      <c r="B60" s="55" t="s">
        <v>12</v>
      </c>
      <c r="C60" s="55" t="s">
        <v>3234</v>
      </c>
      <c r="D60" s="414">
        <v>0</v>
      </c>
      <c r="E60" s="414"/>
      <c r="F60" s="392"/>
      <c r="G60" s="393"/>
      <c r="H60" s="55" t="s">
        <v>3459</v>
      </c>
      <c r="I60" t="str">
        <f t="shared" si="2"/>
        <v>"REVENGE":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v>
      </c>
    </row>
    <row r="61" spans="1:9">
      <c r="A61" s="53" t="s">
        <v>3206</v>
      </c>
      <c r="B61" s="54" t="s">
        <v>250</v>
      </c>
      <c r="C61" s="242" t="s">
        <v>3207</v>
      </c>
      <c r="D61" s="406">
        <v>0</v>
      </c>
      <c r="E61" s="406"/>
      <c r="F61" s="368"/>
      <c r="G61" s="367"/>
      <c r="H61" s="54" t="s">
        <v>3460</v>
      </c>
      <c r="I61" t="str">
        <f t="shared" si="2"/>
        <v>"HUNTER":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v>
      </c>
    </row>
    <row r="62" spans="1:9">
      <c r="A62" s="53" t="s">
        <v>3212</v>
      </c>
      <c r="B62" s="54" t="s">
        <v>250</v>
      </c>
      <c r="C62" s="242" t="s">
        <v>3213</v>
      </c>
      <c r="D62" s="406">
        <v>0</v>
      </c>
      <c r="E62" s="406"/>
      <c r="F62" s="368"/>
      <c r="G62" s="367"/>
      <c r="H62" s="54" t="s">
        <v>3461</v>
      </c>
      <c r="I62" t="str">
        <f t="shared" si="2"/>
        <v>"BEAST_MASTER":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v>
      </c>
    </row>
    <row r="63" spans="1:9">
      <c r="A63" s="75" t="s">
        <v>2909</v>
      </c>
      <c r="B63" s="55" t="s">
        <v>251</v>
      </c>
      <c r="C63" s="55" t="s">
        <v>2905</v>
      </c>
      <c r="D63" s="414">
        <v>0</v>
      </c>
      <c r="E63" s="414"/>
      <c r="F63" s="409"/>
      <c r="G63" s="409"/>
      <c r="H63" s="55" t="s">
        <v>3462</v>
      </c>
      <c r="I63" t="str">
        <f t="shared" si="2"/>
        <v>"ASSASSIN":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v>
      </c>
    </row>
    <row r="64" spans="1:9">
      <c r="A64" s="75" t="s">
        <v>2910</v>
      </c>
      <c r="B64" s="55" t="s">
        <v>251</v>
      </c>
      <c r="C64" s="55" t="s">
        <v>2906</v>
      </c>
      <c r="D64" s="414">
        <v>0</v>
      </c>
      <c r="E64" s="414"/>
      <c r="F64" s="409"/>
      <c r="G64" s="409"/>
      <c r="H64" s="55" t="s">
        <v>3463</v>
      </c>
      <c r="I64" t="str">
        <f t="shared" si="2"/>
        <v>"ROBBER":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v>
      </c>
    </row>
    <row r="65" spans="1:11">
      <c r="A65" s="75" t="s">
        <v>2911</v>
      </c>
      <c r="B65" s="55" t="s">
        <v>251</v>
      </c>
      <c r="C65" s="55" t="s">
        <v>2907</v>
      </c>
      <c r="D65" s="414">
        <v>0</v>
      </c>
      <c r="E65" s="414"/>
      <c r="F65" s="409"/>
      <c r="G65" s="409"/>
      <c r="H65" s="55" t="s">
        <v>3464</v>
      </c>
      <c r="I65" t="str">
        <f t="shared" si="2"/>
        <v>"ARCANE_SWINDLER":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v>
      </c>
    </row>
    <row r="66" spans="1:11">
      <c r="A66" s="75" t="s">
        <v>2912</v>
      </c>
      <c r="B66" s="55" t="s">
        <v>251</v>
      </c>
      <c r="C66" s="55" t="s">
        <v>2908</v>
      </c>
      <c r="D66" s="414">
        <v>0</v>
      </c>
      <c r="E66" s="414"/>
      <c r="F66" s="409"/>
      <c r="G66" s="409"/>
      <c r="H66" s="55" t="s">
        <v>3465</v>
      </c>
      <c r="I66" t="str">
        <f t="shared" si="2"/>
        <v>"CONSPIRATOR":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v>
      </c>
    </row>
    <row r="67" spans="1:11">
      <c r="A67" s="53" t="s">
        <v>2916</v>
      </c>
      <c r="B67" s="54" t="s">
        <v>248</v>
      </c>
      <c r="C67" s="54" t="s">
        <v>2913</v>
      </c>
      <c r="D67" s="406">
        <v>0</v>
      </c>
      <c r="E67" s="406"/>
      <c r="F67" s="407"/>
      <c r="G67" s="407"/>
      <c r="H67" s="54" t="s">
        <v>3466</v>
      </c>
      <c r="I67" t="str">
        <f t="shared" si="2"/>
        <v>"ARCHFAIRY":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v>
      </c>
    </row>
    <row r="68" spans="1:11">
      <c r="A68" s="53" t="s">
        <v>2917</v>
      </c>
      <c r="B68" s="54" t="s">
        <v>248</v>
      </c>
      <c r="C68" s="54" t="s">
        <v>2914</v>
      </c>
      <c r="D68" s="406">
        <v>0</v>
      </c>
      <c r="E68" s="406"/>
      <c r="F68" s="407"/>
      <c r="G68" s="407"/>
      <c r="H68" s="54" t="s">
        <v>3467</v>
      </c>
      <c r="I68" t="str">
        <f t="shared" si="2"/>
        <v>"FIENDISH":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v>
      </c>
    </row>
    <row r="69" spans="1:11">
      <c r="A69" s="323" t="s">
        <v>2918</v>
      </c>
      <c r="B69" s="329" t="s">
        <v>248</v>
      </c>
      <c r="C69" s="329" t="s">
        <v>2915</v>
      </c>
      <c r="D69" s="411">
        <v>0</v>
      </c>
      <c r="E69" s="411"/>
      <c r="F69" s="408"/>
      <c r="G69" s="408"/>
      <c r="H69" s="54" t="s">
        <v>3468</v>
      </c>
      <c r="I69" t="str">
        <f t="shared" si="2"/>
        <v>"GREAT_OLD":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v>
      </c>
    </row>
    <row r="71" spans="1:11">
      <c r="I71" t="str">
        <f>CONCATENATE(I19,",
",I20,",
",I21,",
",I22,",
",I23,",
",I24,",
",I25,",
",I26,",
",I27,",
",I28,",
",I29,",
",I30,",
",I31,",
",I32,",
",I33,",
",I34,",
",I35,",
",I36,",
",I37,",
",I38,",
",I39,",
",I40,",
",I41,",
",I42,",
",I43,",
",I44,",
",I45,",
",I46,",
",I47,",
",I48,",
",I49,",
",I50,",
",I51,",
",I52,",
",I53,",
",I54,",
",I55,",
",I56,",
",I57,",
",I58,",
",I59)</f>
        <v>"ALCHEMIST":  {
 "Code" : "ALCHEMIST",
 "Class" : "ARTIFICER",
 "Name" : "Alchimiste",
  "ACBonus" : 0,
 "Description" : "Un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
  },
"GUNNER":  {
 "Code" : "GUNNER",
 "Class" : "ARTIFICER",
 "Name" : "Artilleur",
  "ACBonus" : 0,
 "Description" : "Un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
  },
"BLACKSMITH":  {
 "Code" : "BLACKSMITH",
 "Class" : "ARTIFICER",
 "Name" : "Forgeron de guerre",
  "ACBonus" : 0,
 "Description" : "Les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
  },
"BERSERKER":  {
 "Code" : "BERSERKER",
 "Class" : "BARBARIAN",
 "Name" : "Voie du berserker",
  "ACBonus" : 0,
 "Description" : "Pour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
  },
"TOTEM_WARRIOR":  {
 "Code" : "TOTEM_WARRIOR",
 "Class" : "BARBARIAN",
 "Name" : "Voie du guerrier totem",
  "ACBonus" : 0,
 "Description" : "La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
  },
"KNOWLEDGE_SCHOOL":  {
 "Code" : "KNOWLEDGE_SCHOOL",
 "Class" : "BARD",
 "Name" : "Collège du savoir",
  "ACBonus" : 0,
 "Description" : "Les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
  },
"BRAVERY_SCHOOL":  {
 "Code" : "BRAVERY_SCHOOL",
 "Class" : "BARD",
 "Name" : "Collège de la vaillance",
  "ACBonus" : 0,
 "Description" : "Les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
  },
"DECEPTION_FIELD":  {
 "Code" : "DECEPTION_FIELD",
 "Class" : "CLERK",
 "Name" : "Domaine de la duperie",
  "ACBonus" : 0,
 "Description" : "Les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
  },
"WAR_FIELD":  {
 "Code" : "WAR_FIELD",
 "Class" : "CLERK",
 "Name" : "Domaine de la guerre",
  "ACBonus" : 0,
 "Description" : "La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
  },
"LIGHT_FIELD":  {
 "Code" : "LIGHT_FIELD",
 "Class" : "CLERK",
 "Name" : "Domaine de la lumière",
  "ACBonus" : 0,
 "Description" : "Les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
  },
"NATURE_FIELD":  {
 "Code" : "NATURE_FIELD",
 "Class" : "CLERK",
 "Name" : "Domaine de la nature",
  "ACBonus" : 0,
 "Description" : "Les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
  },
"KNOWLEDGE_FIELD":  {
 "Code" : "KNOWLEDGE_FIELD",
 "Class" : "CLERK",
 "Name" : "Domaine du savoir",
  "ACBonus" : 0,
 "Description" : "Les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
  },
"STORM_FIELD":  {
 "Code" : "STORM_FIELD",
 "Class" : "CLERK",
 "Name" : "Domaine de la tempête",
  "ACBonus" : 0,
 "Description" : "Les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
  },
"LIFE_FIELD":  {
 "Code" : "LIFE_FIELD",
 "Class" : "CLERK",
 "Name" : "Domaine de la vie",
  "ACBonus" : 0,
 "Description" : "Le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
  },
"FORGE_FIELD":  {
 "Code" : "FORGE_FIELD",
 "Class" : "CLERK",
 "Name" : "Domaine de la forge",
  "ACBonus" : 0,
 "Description" : "Les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
  },
"EARTH_GROUP":  {
 "Code" : "EARTH_GROUP",
 "Class" : "DRUID",
 "Name" : "Cercle de la terre",
  "ACBonus" : 0,
 "Description" : "Le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
  },
"MOON_GROUP":  {
 "Code" : "MOON_GROUP",
 "Class" : "DRUID",
 "Name" : "Cercle de la lune",
  "ACBonus" : 0,
 "Description" : "Les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
  },
"DRAGON_BORN":  {
 "Code" : "DRAGON_BORN",
 "Class" : "SORCERER",
 "Name" : "Lignée draconique",
 "ACBonusArmor" : false, "ACBonus" : 3,
 "Description" : "Votre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
  },
"WILD_MAGIC":  {
 "Code" : "WILD_MAGIC",
 "Class" : "SORCERER",
 "Name" : "Magie sauvage",
  "ACBonus" : 0,
 "Description" : "Votre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
  },
"CHAMPION":  {
 "Code" : "CHAMPION",
 "Class" : "WARRIOR",
 "Name" : "Champion",
  "ACBonus" : 0,
 "Description" : "L'archétype du champion se concentre sur le développement du pouvoir physique brut pour parvenir à la perfection mortelle. Ceux qui se basent sur cet archétype combinent une formation rigoureuse et une excellence physique pour porter des coups dévastateurs."
  },
"WAR_MASTER":  {
 "Code" : "WAR_MASTER",
 "Class" : "WARRIOR",
 "Name" : "Maître de guerre",
  "ACBonus" : 0,
 "Description" : "Vous êtes un expert des manœuvres durant la bataille. Vous comptez sur la ruse et la prouesse pour vaincre vos ennemis. Une formation intense combinée à une attention constante vous propulse au combat. La victoire est un signe de plus de la suprématie martiale."
  },
"OCCULT_KNIGHT":  {
 "Code" : "OCCULT_KNIGHT",
 "Class" : "WARRIOR",
 "Name" : "Chevalier occulte",
  "ACBonus" : 0,
 "Description" : "L’archétype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
  },
"ABJURATION":  {
 "Code" : "ABJURATION",
 "Class" : "MAGICIAN",
 "Name" : "Abjuration",
  "ACBonus" : 0,
 "Description" : "L'école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
  },
"DIVINATION":  {
 "Code" : "DIVINATION",
 "Class" : "MAGICIAN",
 "Name" : "Divination",
  "ACBonus" : 0,
 "Description" : "Les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
  },
"ENCHANTMENT":  {
 "Code" : "ENCHANTMENT",
 "Class" : "MAGICIAN",
 "Name" : "Enchantement",
  "ACBonus" : 0,
 "Description" : "En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
  },
"EVOCATION":  {
 "Code" : "EVOCATION",
 "Class" : "MAGICIAN",
 "Name" : "Evocation",
  "ACBonus" : 0,
 "Description" : "Vous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
  },
"ILLUSION":  {
 "Code" : "ILLUSION",
 "Class" : "MAGICIAN",
 "Name" : "Illusion",
  "ACBonus" : 0,
 "Description" : "Vous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
  },
"INVOCATION":  {
 "Code" : "INVOCATION",
 "Class" : "MAGICIAN",
 "Name" : "Invocation",
  "ACBonus" : 0,
 "Description" : "En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
  },
"NECROMANCY":  {
 "Code" : "NECROMANCY",
 "Class" : "MAGICIAN",
 "Name" : "Nécromancie ",
  "ACBonus" : 0,
 "Description" : "L'école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
  },
"TRANSMUTATION":  {
 "Code" : "TRANSMUTATION",
 "Class" : "MAGICIAN",
 "Name" : "Transmutation",
  "ACBonus" : 0,
 "Description" : "Vous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
  },
"OPENED_HAND_WAY":  {
 "Code" : "OPENED_HAND_WAY",
 "Class" : "MONK",
 "Name" : "Voie de la main ouverte",
  "ACBonus" : 0,
 "Description" : "Les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
  },
"SHADOW_WAY":  {
 "Code" : "SHADOW_WAY",
 "Class" : "MONK",
 "Name" : "Voie de l'ombre",
  "ACBonus" : 0,
 "Description" : "Les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
  },
"ELEMENTS_WAY":  {
 "Code" : "ELEMENTS_WAY",
 "Class" : "MONK",
 "Name" : "Voie des quatre éléments",
  "ACBonus" : 0,
 "Description" : "Vous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
  },
"AVATAR_ORDER":  {
 "Code" : "AVATAR_ORDER",
 "Class" : "MYSTICAL",
 "Name" : "Ordre de l'Avatar",
  "ACBonus" : 0,
 "Description" : "Les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
  },
"AWAKENED_ORDER":  {
 "Code" : "AWAKENED_ORDER",
 "Class" : "MYSTICAL",
 "Name" : "Ordre des Éveillés",
  "ACBonus" : 0,
 "Description" : "Les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
  },
"IMMORTALS_ORDER":  {
 "Code" : "IMMORTALS_ORDER",
 "Class" : "MYSTICAL",
 "Name" : "Ordre des Immortels",
  "ACBonus" : 0,
 "Description" : "L'ordre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
  },
"NOMAD_ORDER":  {
 "Code" : "NOMAD_ORDER",
 "Class" : "MYSTICAL",
 "Name" : "Ordre du Nomade",
  "ACBonus" : 0,
 "Description" : "Les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
  },
"SHARP_SOUL_ORDER":  {
 "Code" : "SHARP_SOUL_ORDER",
 "Class" : "MYSTICAL",
 "Name" : "Ordre de l'Âme acérée",
  "ACBonus" : 0,
 "Description" : "L'ordre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
  },
"WU_JEN_ORDER":  {
 "Code" : "WU_JEN_ORDER",
 "Class" : "MYSTICAL",
 "Name" : "Ordre du Wu Jen",
  "ACBonus" : 0,
 "Description" : "L'ordre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
  },
"DEVOTION":  {
 "Code" : "DEVOTION",
 "Class" : "PALADIN",
 "Name" : "Serment de dévotion",
  "ACBonus" : 0,
 "Description" : "Le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
  },
"OLD":  {
 "Code" : "OLD",
 "Class" : "PALADIN",
 "Name" : "Serment des anciens",
  "ACBonus" : 0,
 "Description" : "Le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
  }</v>
      </c>
    </row>
    <row r="72" spans="1:11">
      <c r="I72" t="str">
        <f>CONCATENATE(",
",I60,",
",I61,",
",I62,",
",I63,",
",I64,",
",I65,",
",I66,",
",I67,",
",I68,",
",I69)</f>
        <v>,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
"ROBBER":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
"ARCANE_SWINDLER":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
"CONSPIRATOR":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
"ARCHFAIRY":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
"FIENDISH":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
"GREAT_OLD":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v>
      </c>
    </row>
    <row r="73" spans="1:11">
      <c r="I73" t="str">
        <f>CONCATENATE(I71,I72)</f>
        <v>"ALCHEMIST":  {
 "Code" : "ALCHEMIST",
 "Class" : "ARTIFICER",
 "Name" : "Alchimiste",
  "ACBonus" : 0,
 "Description" : "Un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
  },
"GUNNER":  {
 "Code" : "GUNNER",
 "Class" : "ARTIFICER",
 "Name" : "Artilleur",
  "ACBonus" : 0,
 "Description" : "Un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
  },
"BLACKSMITH":  {
 "Code" : "BLACKSMITH",
 "Class" : "ARTIFICER",
 "Name" : "Forgeron de guerre",
  "ACBonus" : 0,
 "Description" : "Les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
  },
"BERSERKER":  {
 "Code" : "BERSERKER",
 "Class" : "BARBARIAN",
 "Name" : "Voie du berserker",
  "ACBonus" : 0,
 "Description" : "Pour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
  },
"TOTEM_WARRIOR":  {
 "Code" : "TOTEM_WARRIOR",
 "Class" : "BARBARIAN",
 "Name" : "Voie du guerrier totem",
  "ACBonus" : 0,
 "Description" : "La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
  },
"KNOWLEDGE_SCHOOL":  {
 "Code" : "KNOWLEDGE_SCHOOL",
 "Class" : "BARD",
 "Name" : "Collège du savoir",
  "ACBonus" : 0,
 "Description" : "Les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
  },
"BRAVERY_SCHOOL":  {
 "Code" : "BRAVERY_SCHOOL",
 "Class" : "BARD",
 "Name" : "Collège de la vaillance",
  "ACBonus" : 0,
 "Description" : "Les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
  },
"DECEPTION_FIELD":  {
 "Code" : "DECEPTION_FIELD",
 "Class" : "CLERK",
 "Name" : "Domaine de la duperie",
  "ACBonus" : 0,
 "Description" : "Les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
  },
"WAR_FIELD":  {
 "Code" : "WAR_FIELD",
 "Class" : "CLERK",
 "Name" : "Domaine de la guerre",
  "ACBonus" : 0,
 "Description" : "La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
  },
"LIGHT_FIELD":  {
 "Code" : "LIGHT_FIELD",
 "Class" : "CLERK",
 "Name" : "Domaine de la lumière",
  "ACBonus" : 0,
 "Description" : "Les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
  },
"NATURE_FIELD":  {
 "Code" : "NATURE_FIELD",
 "Class" : "CLERK",
 "Name" : "Domaine de la nature",
  "ACBonus" : 0,
 "Description" : "Les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
  },
"KNOWLEDGE_FIELD":  {
 "Code" : "KNOWLEDGE_FIELD",
 "Class" : "CLERK",
 "Name" : "Domaine du savoir",
  "ACBonus" : 0,
 "Description" : "Les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
  },
"STORM_FIELD":  {
 "Code" : "STORM_FIELD",
 "Class" : "CLERK",
 "Name" : "Domaine de la tempête",
  "ACBonus" : 0,
 "Description" : "Les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
  },
"LIFE_FIELD":  {
 "Code" : "LIFE_FIELD",
 "Class" : "CLERK",
 "Name" : "Domaine de la vie",
  "ACBonus" : 0,
 "Description" : "Le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
  },
"FORGE_FIELD":  {
 "Code" : "FORGE_FIELD",
 "Class" : "CLERK",
 "Name" : "Domaine de la forge",
  "ACBonus" : 0,
 "Description" : "Les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
  },
"EARTH_GROUP":  {
 "Code" : "EARTH_GROUP",
 "Class" : "DRUID",
 "Name" : "Cercle de la terre",
  "ACBonus" : 0,
 "Description" : "Le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
  },
"MOON_GROUP":  {
 "Code" : "MOON_GROUP",
 "Class" : "DRUID",
 "Name" : "Cercle de la lune",
  "ACBonus" : 0,
 "Description" : "Les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
  },
"DRAGON_BORN":  {
 "Code" : "DRAGON_BORN",
 "Class" : "SORCERER",
 "Name" : "Lignée draconique",
 "ACBonusArmor" : false, "ACBonus" : 3,
 "Description" : "Votre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
  },
"WILD_MAGIC":  {
 "Code" : "WILD_MAGIC",
 "Class" : "SORCERER",
 "Name" : "Magie sauvage",
  "ACBonus" : 0,
 "Description" : "Votre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
  },
"CHAMPION":  {
 "Code" : "CHAMPION",
 "Class" : "WARRIOR",
 "Name" : "Champion",
  "ACBonus" : 0,
 "Description" : "L'archétype du champion se concentre sur le développement du pouvoir physique brut pour parvenir à la perfection mortelle. Ceux qui se basent sur cet archétype combinent une formation rigoureuse et une excellence physique pour porter des coups dévastateurs."
  },
"WAR_MASTER":  {
 "Code" : "WAR_MASTER",
 "Class" : "WARRIOR",
 "Name" : "Maître de guerre",
  "ACBonus" : 0,
 "Description" : "Vous êtes un expert des manœuvres durant la bataille. Vous comptez sur la ruse et la prouesse pour vaincre vos ennemis. Une formation intense combinée à une attention constante vous propulse au combat. La victoire est un signe de plus de la suprématie martiale."
  },
"OCCULT_KNIGHT":  {
 "Code" : "OCCULT_KNIGHT",
 "Class" : "WARRIOR",
 "Name" : "Chevalier occulte",
  "ACBonus" : 0,
 "Description" : "L’archétype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
  },
"ABJURATION":  {
 "Code" : "ABJURATION",
 "Class" : "MAGICIAN",
 "Name" : "Abjuration",
  "ACBonus" : 0,
 "Description" : "L'école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
  },
"DIVINATION":  {
 "Code" : "DIVINATION",
 "Class" : "MAGICIAN",
 "Name" : "Divination",
  "ACBonus" : 0,
 "Description" : "Les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
  },
"ENCHANTMENT":  {
 "Code" : "ENCHANTMENT",
 "Class" : "MAGICIAN",
 "Name" : "Enchantement",
  "ACBonus" : 0,
 "Description" : "En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
  },
"EVOCATION":  {
 "Code" : "EVOCATION",
 "Class" : "MAGICIAN",
 "Name" : "Evocation",
  "ACBonus" : 0,
 "Description" : "Vous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
  },
"ILLUSION":  {
 "Code" : "ILLUSION",
 "Class" : "MAGICIAN",
 "Name" : "Illusion",
  "ACBonus" : 0,
 "Description" : "Vous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
  },
"INVOCATION":  {
 "Code" : "INVOCATION",
 "Class" : "MAGICIAN",
 "Name" : "Invocation",
  "ACBonus" : 0,
 "Description" : "En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
  },
"NECROMANCY":  {
 "Code" : "NECROMANCY",
 "Class" : "MAGICIAN",
 "Name" : "Nécromancie ",
  "ACBonus" : 0,
 "Description" : "L'école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
  },
"TRANSMUTATION":  {
 "Code" : "TRANSMUTATION",
 "Class" : "MAGICIAN",
 "Name" : "Transmutation",
  "ACBonus" : 0,
 "Description" : "Vous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
  },
"OPENED_HAND_WAY":  {
 "Code" : "OPENED_HAND_WAY",
 "Class" : "MONK",
 "Name" : "Voie de la main ouverte",
  "ACBonus" : 0,
 "Description" : "Les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
  },
"SHADOW_WAY":  {
 "Code" : "SHADOW_WAY",
 "Class" : "MONK",
 "Name" : "Voie de l'ombre",
  "ACBonus" : 0,
 "Description" : "Les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
  },
"ELEMENTS_WAY":  {
 "Code" : "ELEMENTS_WAY",
 "Class" : "MONK",
 "Name" : "Voie des quatre éléments",
  "ACBonus" : 0,
 "Description" : "Vous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
  },
"AVATAR_ORDER":  {
 "Code" : "AVATAR_ORDER",
 "Class" : "MYSTICAL",
 "Name" : "Ordre de l'Avatar",
  "ACBonus" : 0,
 "Description" : "Les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
  },
"AWAKENED_ORDER":  {
 "Code" : "AWAKENED_ORDER",
 "Class" : "MYSTICAL",
 "Name" : "Ordre des Éveillés",
  "ACBonus" : 0,
 "Description" : "Les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
  },
"IMMORTALS_ORDER":  {
 "Code" : "IMMORTALS_ORDER",
 "Class" : "MYSTICAL",
 "Name" : "Ordre des Immortels",
  "ACBonus" : 0,
 "Description" : "L'ordre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
  },
"NOMAD_ORDER":  {
 "Code" : "NOMAD_ORDER",
 "Class" : "MYSTICAL",
 "Name" : "Ordre du Nomade",
  "ACBonus" : 0,
 "Description" : "Les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
  },
"SHARP_SOUL_ORDER":  {
 "Code" : "SHARP_SOUL_ORDER",
 "Class" : "MYSTICAL",
 "Name" : "Ordre de l'Âme acérée",
  "ACBonus" : 0,
 "Description" : "L'ordre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
  },
"WU_JEN_ORDER":  {
 "Code" : "WU_JEN_ORDER",
 "Class" : "MYSTICAL",
 "Name" : "Ordre du Wu Jen",
  "ACBonus" : 0,
 "Description" : "L'ordre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
  },
"DEVOTION":  {
 "Code" : "DEVOTION",
 "Class" : "PALADIN",
 "Name" : "Serment de dévotion",
  "ACBonus" : 0,
 "Description" : "Le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
  },
"OLD":  {
 "Code" : "OLD",
 "Class" : "PALADIN",
 "Name" : "Serment des anciens",
  "ACBonus" : 0,
 "Description" : "Le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
  },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v>
      </c>
    </row>
    <row r="74" spans="1:11">
      <c r="A74" s="211" t="s">
        <v>312</v>
      </c>
      <c r="B74" s="218" t="s">
        <v>2837</v>
      </c>
      <c r="C74" s="218" t="s">
        <v>2830</v>
      </c>
      <c r="D74" s="404" t="s">
        <v>1036</v>
      </c>
      <c r="E74" s="405"/>
      <c r="F74" s="219" t="s">
        <v>2835</v>
      </c>
      <c r="G74" s="214"/>
      <c r="H74" s="214" t="s">
        <v>1075</v>
      </c>
      <c r="I74" s="108" t="s">
        <v>3272</v>
      </c>
      <c r="J74" s="108" t="s">
        <v>3273</v>
      </c>
    </row>
    <row r="75" spans="1:11">
      <c r="A75" s="238" t="s">
        <v>2875</v>
      </c>
      <c r="B75" s="240" t="s">
        <v>246</v>
      </c>
      <c r="C75" s="239" t="s">
        <v>2869</v>
      </c>
      <c r="D75" s="400">
        <v>0</v>
      </c>
      <c r="E75" s="400"/>
      <c r="F75" s="401"/>
      <c r="G75" s="401"/>
      <c r="H75" s="239" t="s">
        <v>3270</v>
      </c>
      <c r="I75" s="247">
        <v>2</v>
      </c>
      <c r="J75" s="247">
        <v>0</v>
      </c>
      <c r="K75" t="str">
        <f>""""&amp;A75&amp;""":  {
 ""Code"" : """&amp;A75&amp;""",
 ""Class"" : """&amp;B75&amp;""",
 ""Name"" : """&amp;C75&amp;""",
 "&amp;IF(ISBLANK(F75),"","""ACBonusArmor"" : "&amp;F75&amp;",")
&amp;" ""ACBonus"" : "&amp;D75&amp;","
&amp;" ""DistanceBonus"" : "&amp;I75&amp;","
&amp;" ""weaponBonus"" : "&amp;J75&amp;","
&amp;" ""Description"" : """&amp;H75&amp;"""
  }"</f>
        <v>"WARRIOR_ARCHERY":  {
 "Code" : "WARRIOR_ARCHERY",
 "Class" : "WARRIOR",
 "Name" : "Archerie",
  "ACBonus" : 0, "DistanceBonus" : 2, "weaponBonus" : 0, "Description" : "Vous obtenez un bonus de +2 aux jets d'attaque avec une arme à distance."
  }</v>
      </c>
    </row>
    <row r="76" spans="1:11">
      <c r="A76" s="238" t="s">
        <v>2876</v>
      </c>
      <c r="B76" s="240" t="s">
        <v>246</v>
      </c>
      <c r="C76" s="239" t="s">
        <v>2870</v>
      </c>
      <c r="D76" s="400">
        <v>0</v>
      </c>
      <c r="E76" s="400"/>
      <c r="F76" s="401"/>
      <c r="G76" s="401"/>
      <c r="H76" s="239" t="s">
        <v>3266</v>
      </c>
      <c r="I76" s="247">
        <v>0</v>
      </c>
      <c r="J76" s="247">
        <v>0</v>
      </c>
      <c r="K76" t="str">
        <f t="shared" ref="K76:K88" si="3">""""&amp;A76&amp;""":  {
 ""Code"" : """&amp;A76&amp;""",
 ""Class"" : """&amp;B76&amp;""",
 ""Name"" : """&amp;C76&amp;""",
 "&amp;IF(ISBLANK(F76),"","""ACBonusArmor"" : "&amp;F76&amp;",")
&amp;" ""ACBonus"" : "&amp;D76&amp;","
&amp;" ""DistanceBonus"" : "&amp;I76&amp;","
&amp;" ""weaponBonus"" : "&amp;J76&amp;","
&amp;" ""Description"" : """&amp;H76&amp;"""
  }"</f>
        <v>"WARRIOR_TWO_HAND_WEAPON":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v>
      </c>
    </row>
    <row r="77" spans="1:11">
      <c r="A77" s="238" t="s">
        <v>2877</v>
      </c>
      <c r="B77" s="240" t="s">
        <v>246</v>
      </c>
      <c r="C77" s="239" t="s">
        <v>2871</v>
      </c>
      <c r="D77" s="400">
        <v>0</v>
      </c>
      <c r="E77" s="400"/>
      <c r="F77" s="401"/>
      <c r="G77" s="401"/>
      <c r="H77" s="239" t="s">
        <v>3271</v>
      </c>
      <c r="I77" s="247">
        <v>0</v>
      </c>
      <c r="J77" s="247">
        <v>0</v>
      </c>
      <c r="K77" t="str">
        <f t="shared" si="3"/>
        <v>"WARRIOR_TWO_HAND_FIGHT":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v>
      </c>
    </row>
    <row r="78" spans="1:11">
      <c r="A78" s="238" t="s">
        <v>2878</v>
      </c>
      <c r="B78" s="240" t="s">
        <v>246</v>
      </c>
      <c r="C78" s="239" t="s">
        <v>2872</v>
      </c>
      <c r="D78" s="400">
        <v>1</v>
      </c>
      <c r="E78" s="400"/>
      <c r="F78" s="401" t="s">
        <v>2807</v>
      </c>
      <c r="G78" s="401"/>
      <c r="H78" s="239" t="s">
        <v>3267</v>
      </c>
      <c r="I78" s="247">
        <v>0</v>
      </c>
      <c r="J78" s="247">
        <v>0</v>
      </c>
      <c r="K78" t="str">
        <f t="shared" si="3"/>
        <v>"WARRIOR_DEFENSE":  {
 "Code" : "WARRIOR_DEFENSE",
 "Class" : "WARRIOR",
 "Name" : "Défense",
 "ACBonusArmor" : true, "ACBonus" : 1, "DistanceBonus" : 0, "weaponBonus" : 0, "Description" : "Si vous portez une armure, vous obtenez un bonus de +1 à la CA."
  }</v>
      </c>
    </row>
    <row r="79" spans="1:11">
      <c r="A79" s="238" t="s">
        <v>2879</v>
      </c>
      <c r="B79" s="240" t="s">
        <v>246</v>
      </c>
      <c r="C79" s="239" t="s">
        <v>2873</v>
      </c>
      <c r="D79" s="400">
        <v>0</v>
      </c>
      <c r="E79" s="400"/>
      <c r="F79" s="401"/>
      <c r="G79" s="401"/>
      <c r="H79" s="239" t="s">
        <v>3268</v>
      </c>
      <c r="I79" s="247">
        <v>0</v>
      </c>
      <c r="J79" s="247">
        <v>2</v>
      </c>
      <c r="K79" t="str">
        <f t="shared" si="3"/>
        <v>"WARRIOR_DUEL":  {
 "Code" : "WARRIOR_DUEL",
 "Class" : "WARRIOR",
 "Name" : "Duel",
  "ACBonus" : 0, "DistanceBonus" : 0, "weaponBonus" : 2, "Description" : "Lorsque vous attaquez avec une arme de corps à corps dans une main et aucune autre arme, vous obtenez un bonus de +2 aux dégâts avec cette arme."
  }</v>
      </c>
    </row>
    <row r="80" spans="1:11">
      <c r="A80" s="238" t="s">
        <v>2880</v>
      </c>
      <c r="B80" s="240" t="s">
        <v>246</v>
      </c>
      <c r="C80" s="239" t="s">
        <v>2874</v>
      </c>
      <c r="D80" s="400">
        <v>0</v>
      </c>
      <c r="E80" s="400"/>
      <c r="F80" s="401"/>
      <c r="G80" s="401"/>
      <c r="H80" s="239" t="s">
        <v>3269</v>
      </c>
      <c r="I80" s="247">
        <v>0</v>
      </c>
      <c r="J80" s="247">
        <v>0</v>
      </c>
      <c r="K80" t="str">
        <f t="shared" si="3"/>
        <v>"WARRIOR_PROTECTION":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v>
      </c>
    </row>
    <row r="81" spans="1:11">
      <c r="A81" s="241" t="s">
        <v>2891</v>
      </c>
      <c r="B81" s="242" t="s">
        <v>12</v>
      </c>
      <c r="C81" s="242" t="s">
        <v>2870</v>
      </c>
      <c r="D81" s="398">
        <v>0</v>
      </c>
      <c r="E81" s="398"/>
      <c r="F81" s="399"/>
      <c r="G81" s="399"/>
      <c r="H81" s="239" t="s">
        <v>3266</v>
      </c>
      <c r="I81" s="247">
        <v>0</v>
      </c>
      <c r="J81" s="247">
        <v>0</v>
      </c>
      <c r="K81" t="str">
        <f t="shared" si="3"/>
        <v>"PALADIN_TWO_HAND_WEAPON":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v>
      </c>
    </row>
    <row r="82" spans="1:11">
      <c r="A82" s="241" t="s">
        <v>2892</v>
      </c>
      <c r="B82" s="242" t="s">
        <v>12</v>
      </c>
      <c r="C82" s="242" t="s">
        <v>2872</v>
      </c>
      <c r="D82" s="398">
        <v>1</v>
      </c>
      <c r="E82" s="398"/>
      <c r="F82" s="399" t="s">
        <v>2807</v>
      </c>
      <c r="G82" s="399"/>
      <c r="H82" s="242" t="s">
        <v>3267</v>
      </c>
      <c r="I82" s="247">
        <v>0</v>
      </c>
      <c r="J82" s="247">
        <v>0</v>
      </c>
      <c r="K82" t="str">
        <f t="shared" si="3"/>
        <v>"PALADIN_DEFENSE":  {
 "Code" : "PALADIN_DEFENSE",
 "Class" : "PALADIN",
 "Name" : "Défense",
 "ACBonusArmor" : true, "ACBonus" : 1, "DistanceBonus" : 0, "weaponBonus" : 0, "Description" : "Si vous portez une armure, vous obtenez un bonus de +1 à la CA."
  }</v>
      </c>
    </row>
    <row r="83" spans="1:11">
      <c r="A83" s="241" t="s">
        <v>2893</v>
      </c>
      <c r="B83" s="242" t="s">
        <v>12</v>
      </c>
      <c r="C83" s="242" t="s">
        <v>2873</v>
      </c>
      <c r="D83" s="398">
        <v>0</v>
      </c>
      <c r="E83" s="398"/>
      <c r="F83" s="399"/>
      <c r="G83" s="399"/>
      <c r="H83" s="242" t="s">
        <v>3268</v>
      </c>
      <c r="I83" s="247">
        <v>0</v>
      </c>
      <c r="J83" s="247">
        <v>2</v>
      </c>
      <c r="K83" t="str">
        <f t="shared" si="3"/>
        <v>"PALADIN_DUEL":  {
 "Code" : "PALADIN_DUEL",
 "Class" : "PALADIN",
 "Name" : "Duel",
  "ACBonus" : 0, "DistanceBonus" : 0, "weaponBonus" : 2, "Description" : "Lorsque vous attaquez avec une arme de corps à corps dans une main et aucune autre arme, vous obtenez un bonus de +2 aux dégâts avec cette arme."
  }</v>
      </c>
    </row>
    <row r="84" spans="1:11">
      <c r="A84" s="241" t="s">
        <v>2894</v>
      </c>
      <c r="B84" s="242" t="s">
        <v>12</v>
      </c>
      <c r="C84" s="242" t="s">
        <v>2874</v>
      </c>
      <c r="D84" s="398">
        <v>0</v>
      </c>
      <c r="E84" s="398"/>
      <c r="F84" s="399"/>
      <c r="G84" s="399"/>
      <c r="H84" s="242" t="s">
        <v>3269</v>
      </c>
      <c r="I84" s="247">
        <v>0</v>
      </c>
      <c r="J84" s="247">
        <v>0</v>
      </c>
      <c r="K84" t="str">
        <f t="shared" si="3"/>
        <v>"PALADIN_PROTECTION":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v>
      </c>
    </row>
    <row r="85" spans="1:11">
      <c r="A85" s="238" t="s">
        <v>2895</v>
      </c>
      <c r="B85" s="240" t="s">
        <v>250</v>
      </c>
      <c r="C85" s="239" t="s">
        <v>2869</v>
      </c>
      <c r="D85" s="400">
        <v>0</v>
      </c>
      <c r="E85" s="400"/>
      <c r="F85" s="401"/>
      <c r="G85" s="401"/>
      <c r="H85" s="239" t="s">
        <v>3270</v>
      </c>
      <c r="I85" s="247">
        <v>2</v>
      </c>
      <c r="J85" s="247">
        <v>0</v>
      </c>
      <c r="K85" t="str">
        <f t="shared" si="3"/>
        <v>"PROWLER_ARCHERY":  {
 "Code" : "PROWLER_ARCHERY",
 "Class" : "PROWLER",
 "Name" : "Archerie",
  "ACBonus" : 0, "DistanceBonus" : 2, "weaponBonus" : 0, "Description" : "Vous obtenez un bonus de +2 aux jets d'attaque avec une arme à distance."
  }</v>
      </c>
    </row>
    <row r="86" spans="1:11">
      <c r="A86" s="238" t="s">
        <v>2896</v>
      </c>
      <c r="B86" s="240" t="s">
        <v>250</v>
      </c>
      <c r="C86" s="239" t="s">
        <v>2871</v>
      </c>
      <c r="D86" s="400">
        <v>0</v>
      </c>
      <c r="E86" s="400"/>
      <c r="F86" s="401"/>
      <c r="G86" s="401"/>
      <c r="H86" s="242" t="s">
        <v>3271</v>
      </c>
      <c r="I86" s="247">
        <v>0</v>
      </c>
      <c r="J86" s="247">
        <v>0</v>
      </c>
      <c r="K86" t="str">
        <f t="shared" si="3"/>
        <v>"PROWLER_TWO_HAND_FIGHT":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v>
      </c>
    </row>
    <row r="87" spans="1:11">
      <c r="A87" s="238" t="s">
        <v>2897</v>
      </c>
      <c r="B87" s="240" t="s">
        <v>250</v>
      </c>
      <c r="C87" s="239" t="s">
        <v>2872</v>
      </c>
      <c r="D87" s="400">
        <v>1</v>
      </c>
      <c r="E87" s="400"/>
      <c r="F87" s="401" t="s">
        <v>2807</v>
      </c>
      <c r="G87" s="401"/>
      <c r="H87" s="239" t="s">
        <v>3267</v>
      </c>
      <c r="I87" s="247">
        <v>0</v>
      </c>
      <c r="J87" s="247">
        <v>0</v>
      </c>
      <c r="K87" t="str">
        <f t="shared" si="3"/>
        <v>"PROWLER_DEFENSE":  {
 "Code" : "PROWLER_DEFENSE",
 "Class" : "PROWLER",
 "Name" : "Défense",
 "ACBonusArmor" : true, "ACBonus" : 1, "DistanceBonus" : 0, "weaponBonus" : 0, "Description" : "Si vous portez une armure, vous obtenez un bonus de +1 à la CA."
  }</v>
      </c>
    </row>
    <row r="88" spans="1:11">
      <c r="A88" s="243" t="s">
        <v>2898</v>
      </c>
      <c r="B88" s="244" t="s">
        <v>250</v>
      </c>
      <c r="C88" s="245" t="s">
        <v>2873</v>
      </c>
      <c r="D88" s="402">
        <v>0</v>
      </c>
      <c r="E88" s="402"/>
      <c r="F88" s="403"/>
      <c r="G88" s="403"/>
      <c r="H88" s="239" t="s">
        <v>3268</v>
      </c>
      <c r="I88" s="247">
        <v>0</v>
      </c>
      <c r="J88" s="247">
        <v>2</v>
      </c>
      <c r="K88" t="str">
        <f t="shared" si="3"/>
        <v>"PROWLER_DUEL":  {
 "Code" : "PROWLER_DUEL",
 "Class" : "PROWLER",
 "Name" : "Duel",
  "ACBonus" : 0, "DistanceBonus" : 0, "weaponBonus" : 2, "Description" : "Lorsque vous attaquez avec une arme de corps à corps dans une main et aucune autre arme, vous obtenez un bonus de +2 aux dégâts avec cette arme."
  }</v>
      </c>
    </row>
    <row r="90" spans="1:11">
      <c r="I90" t="str">
        <f>CONCATENATE(K75,",
",K76,",
",K77,",
",K78,",
",K79,",
",K80,",
",K81,",
",K82,",
",K83,",
",K84,",
",K85,",
",K86,",
",K87,",
",K88)</f>
        <v>"WARRIOR_ARCHERY":  {
 "Code" : "WARRIOR_ARCHERY",
 "Class" : "WARRIOR",
 "Name" : "Archerie",
  "ACBonus" : 0, "DistanceBonus" : 2, "weaponBonus" : 0, "Description" : "Vous obtenez un bonus de +2 aux jets d'attaque avec une arme à distance."
  },
"WARRIOR_TWO_HAND_WEAPON":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
"WARRIOR_DEFENSE":  {
 "Code" : "WARRIOR_DEFENSE",
 "Class" : "WARRIOR",
 "Name" : "Défense",
 "ACBonusArmor" : true, "ACBonus" : 1, "DistanceBonus" : 0, "weaponBonus" : 0, "Description" : "Si vous portez une armure, vous obtenez un bonus de +1 à la CA."
  },
"WARRIOR_DUEL":  {
 "Code" : "WARRIOR_DUEL",
 "Class" : "WARRIOR",
 "Name" : "Duel",
  "ACBonus" : 0, "DistanceBonus" : 0, "weaponBonus" : 2, "Description" : "Lorsque vous attaquez avec une arme de corps à corps dans une main et aucune autre arme, vous obtenez un bonus de +2 aux dégâts avec cette arme."
  },
"WARRIOR_PROTECTION":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"PALADIN_DEFENSE":  {
 "Code" : "PALADIN_DEFENSE",
 "Class" : "PALADIN",
 "Name" : "Défense",
 "ACBonusArmor" : true, "ACBonus" : 1, "DistanceBonus" : 0, "weaponBonus" : 0, "Description" : "Si vous portez une armure, vous obtenez un bonus de +1 à la CA."
  },
"PALADIN_DUEL":  {
 "Code" : "PALADIN_DUEL",
 "Class" : "PALADIN",
 "Name" : "Duel",
  "ACBonus" : 0, "DistanceBonus" : 0, "weaponBonus" : 2, "Description" : "Lorsque vous attaquez avec une arme de corps à corps dans une main et aucune autre arme, vous obtenez un bonus de +2 aux dégâts avec cette arme."
  },
"PALADIN_PROTECTION":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"PROWLER_ARCHERY":  {
 "Code" : "PROWLER_ARCHERY",
 "Class" : "PROWLER",
 "Name" : "Archerie",
  "ACBonus" : 0, "DistanceBonus" : 2, "weaponBonus" : 0, "Description" : "Vous obtenez un bonus de +2 aux jets d'attaque avec une arme à distance."
  },
"PROWLER_TWO_HAND_FIGHT":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
"PROWLER_DEFENSE":  {
 "Code" : "PROWLER_DEFENSE",
 "Class" : "PROWLER",
 "Name" : "Défense",
 "ACBonusArmor" : true, "ACBonus" : 1, "DistanceBonus" : 0, "weaponBonus" : 0, "Description" : "Si vous portez une armure, vous obtenez un bonus de +1 à la CA."
  },
"PROWLER_DUEL":  {
 "Code" : "PROWLER_DUEL",
 "Class" : "PROWLER",
 "Name" : "Duel",
  "ACBonus" : 0, "DistanceBonus" : 0, "weaponBonus" : 2, "Description" : "Lorsque vous attaquez avec une arme de corps à corps dans une main et aucune autre arme, vous obtenez un bonus de +2 aux dégâts avec cette arme."
  }</v>
      </c>
    </row>
  </sheetData>
  <mergeCells count="115">
    <mergeCell ref="D18:E18"/>
    <mergeCell ref="D22:E22"/>
    <mergeCell ref="D23:E23"/>
    <mergeCell ref="D24:E24"/>
    <mergeCell ref="D25:E25"/>
    <mergeCell ref="D19:E19"/>
    <mergeCell ref="D20:E20"/>
    <mergeCell ref="D21:E21"/>
    <mergeCell ref="D64:E64"/>
    <mergeCell ref="D67:E67"/>
    <mergeCell ref="D65:E65"/>
    <mergeCell ref="D41:E41"/>
    <mergeCell ref="D48:E48"/>
    <mergeCell ref="D49:E49"/>
    <mergeCell ref="D51:E51"/>
    <mergeCell ref="D43:E43"/>
    <mergeCell ref="D44:E44"/>
    <mergeCell ref="D45:E45"/>
    <mergeCell ref="D46:E46"/>
    <mergeCell ref="D47:E47"/>
    <mergeCell ref="D61:E61"/>
    <mergeCell ref="D62:E62"/>
    <mergeCell ref="D66:E66"/>
    <mergeCell ref="D52:E52"/>
    <mergeCell ref="D53:E53"/>
    <mergeCell ref="D54:E54"/>
    <mergeCell ref="D55:E55"/>
    <mergeCell ref="D56:E56"/>
    <mergeCell ref="D57:E57"/>
    <mergeCell ref="F63:G63"/>
    <mergeCell ref="F64:G64"/>
    <mergeCell ref="D58:E58"/>
    <mergeCell ref="D59:E59"/>
    <mergeCell ref="D60:E60"/>
    <mergeCell ref="F35:G35"/>
    <mergeCell ref="F22:G22"/>
    <mergeCell ref="F23:G23"/>
    <mergeCell ref="F24:G24"/>
    <mergeCell ref="F25:G25"/>
    <mergeCell ref="F26:G26"/>
    <mergeCell ref="F29:G29"/>
    <mergeCell ref="F34:G34"/>
    <mergeCell ref="D63:E63"/>
    <mergeCell ref="D38:E38"/>
    <mergeCell ref="D34:E34"/>
    <mergeCell ref="D35:E35"/>
    <mergeCell ref="D36:E36"/>
    <mergeCell ref="D37:E37"/>
    <mergeCell ref="D26:E26"/>
    <mergeCell ref="D27:E27"/>
    <mergeCell ref="D28:E28"/>
    <mergeCell ref="D30:E30"/>
    <mergeCell ref="D31:E31"/>
    <mergeCell ref="F50:G50"/>
    <mergeCell ref="D50:E50"/>
    <mergeCell ref="F46:G46"/>
    <mergeCell ref="F47:G47"/>
    <mergeCell ref="D42:E42"/>
    <mergeCell ref="F36:G36"/>
    <mergeCell ref="F37:G37"/>
    <mergeCell ref="F27:G27"/>
    <mergeCell ref="F28:G28"/>
    <mergeCell ref="F30:G30"/>
    <mergeCell ref="F31:G31"/>
    <mergeCell ref="F32:G32"/>
    <mergeCell ref="F33:G33"/>
    <mergeCell ref="D32:E32"/>
    <mergeCell ref="D29:E29"/>
    <mergeCell ref="D33:E33"/>
    <mergeCell ref="D75:E75"/>
    <mergeCell ref="F75:G75"/>
    <mergeCell ref="D76:E76"/>
    <mergeCell ref="F76:G76"/>
    <mergeCell ref="D77:E77"/>
    <mergeCell ref="F77:G77"/>
    <mergeCell ref="D39:E39"/>
    <mergeCell ref="D40:E40"/>
    <mergeCell ref="D74:E74"/>
    <mergeCell ref="D68:E68"/>
    <mergeCell ref="F68:G68"/>
    <mergeCell ref="F67:G67"/>
    <mergeCell ref="F69:G69"/>
    <mergeCell ref="F65:G65"/>
    <mergeCell ref="F41:G41"/>
    <mergeCell ref="F48:G48"/>
    <mergeCell ref="F49:G49"/>
    <mergeCell ref="F51:G51"/>
    <mergeCell ref="F42:G42"/>
    <mergeCell ref="F43:G43"/>
    <mergeCell ref="F44:G44"/>
    <mergeCell ref="F45:G45"/>
    <mergeCell ref="D69:E69"/>
    <mergeCell ref="F66:G66"/>
    <mergeCell ref="D86:E86"/>
    <mergeCell ref="F86:G86"/>
    <mergeCell ref="D87:E87"/>
    <mergeCell ref="F87:G87"/>
    <mergeCell ref="D88:E88"/>
    <mergeCell ref="F88:G88"/>
    <mergeCell ref="D83:E83"/>
    <mergeCell ref="F83:G83"/>
    <mergeCell ref="D84:E84"/>
    <mergeCell ref="F84:G84"/>
    <mergeCell ref="D85:E85"/>
    <mergeCell ref="F85:G85"/>
    <mergeCell ref="D81:E81"/>
    <mergeCell ref="F81:G81"/>
    <mergeCell ref="D82:E82"/>
    <mergeCell ref="F82:G82"/>
    <mergeCell ref="D78:E78"/>
    <mergeCell ref="F78:G78"/>
    <mergeCell ref="D79:E79"/>
    <mergeCell ref="F79:G79"/>
    <mergeCell ref="D80:E80"/>
    <mergeCell ref="F80:G80"/>
  </mergeCells>
  <hyperlinks>
    <hyperlink ref="B4" r:id="rId1" tooltip="Allez à la page Barde" display="https://www.aidedd.org/regles/classes/barde/" xr:uid="{00000000-0004-0000-0300-000001000000}"/>
    <hyperlink ref="B5" r:id="rId2" tooltip="Allez à la page Clerc" display="https://www.aidedd.org/regles/classes/clerc/" xr:uid="{00000000-0004-0000-0300-000002000000}"/>
    <hyperlink ref="B6" r:id="rId3" tooltip="Allez à la page Druide" display="https://www.aidedd.org/regles/classes/druide/" xr:uid="{00000000-0004-0000-0300-000003000000}"/>
    <hyperlink ref="B7" r:id="rId4" tooltip="Allez à la page Ensorceleur" display="https://www.aidedd.org/regles/classes/ensorceleur/" xr:uid="{00000000-0004-0000-0300-000004000000}"/>
    <hyperlink ref="B8" r:id="rId5" tooltip="Allez à la page Guerrier" display="https://www.aidedd.org/regles/classes/guerrier/" xr:uid="{00000000-0004-0000-0300-000005000000}"/>
    <hyperlink ref="B9" r:id="rId6" tooltip="Allez à la page Magicien" display="https://www.aidedd.org/regles/classes/magicien/" xr:uid="{00000000-0004-0000-0300-000006000000}"/>
    <hyperlink ref="B10" r:id="rId7" tooltip="Allez à la page Moine" display="https://www.aidedd.org/regles/classes/moine/" xr:uid="{00000000-0004-0000-0300-000007000000}"/>
    <hyperlink ref="B12" r:id="rId8" tooltip="Allez à la page Paladin" display="https://www.aidedd.org/regles/classes/paladin/" xr:uid="{00000000-0004-0000-0300-000008000000}"/>
    <hyperlink ref="B14" r:id="rId9" tooltip="Allez à la page Roublard" display="https://www.aidedd.org/regles/classes/roublard/" xr:uid="{00000000-0004-0000-0300-000009000000}"/>
    <hyperlink ref="B15" r:id="rId10" tooltip="Allez à la page Sorcier" display="https://www.aidedd.org/regles/classes/sorcier/" xr:uid="{00000000-0004-0000-0300-00000A000000}"/>
    <hyperlink ref="B13" r:id="rId11" tooltip="Allez à la page Rôdeur" display="https://www.aidedd.org/regles/classes/rodeur/" xr:uid="{00000000-0004-0000-0300-00000B000000}"/>
    <hyperlink ref="B3" r:id="rId12" tooltip="Allez à la page Barbare" display="https://www.aidedd.org/regles/classes/barbare/" xr:uid="{00000000-0004-0000-0300-000000000000}"/>
    <hyperlink ref="B2" r:id="rId13" tooltip="Allez à la page Barde" display="https://www.aidedd.org/regles/classes/barde/" xr:uid="{DE1EB57B-E580-45E5-B26F-9F293018B75F}"/>
  </hyperlinks>
  <pageMargins left="0.7" right="0.7" top="0.75" bottom="0.75" header="0.3" footer="0.3"/>
  <pageSetup paperSize="9" orientation="portrait"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D39"/>
  <sheetViews>
    <sheetView zoomScale="115" zoomScaleNormal="115" workbookViewId="0">
      <pane xSplit="1" ySplit="2" topLeftCell="DG3" activePane="bottomRight" state="frozenSplit"/>
      <selection pane="topRight" activeCell="W1" sqref="W1"/>
      <selection pane="bottomLeft" activeCell="A3" sqref="A3"/>
      <selection pane="bottomRight" activeCell="DN4" sqref="DN4"/>
    </sheetView>
  </sheetViews>
  <sheetFormatPr baseColWidth="10" defaultRowHeight="15"/>
  <cols>
    <col min="32" max="32" width="14" customWidth="1"/>
  </cols>
  <sheetData>
    <row r="1" spans="1:160">
      <c r="A1" s="138"/>
      <c r="B1" s="415" t="s">
        <v>5948</v>
      </c>
      <c r="C1" s="416"/>
      <c r="D1" s="416"/>
      <c r="E1" s="416"/>
      <c r="F1" s="416"/>
      <c r="G1" s="416"/>
      <c r="H1" s="416"/>
      <c r="I1" s="416"/>
      <c r="J1" s="416"/>
      <c r="K1" s="416"/>
      <c r="L1" s="366"/>
      <c r="M1" s="416" t="s">
        <v>243</v>
      </c>
      <c r="N1" s="416"/>
      <c r="O1" s="416"/>
      <c r="P1" s="416"/>
      <c r="Q1" s="416"/>
      <c r="R1" s="416"/>
      <c r="S1" s="416"/>
      <c r="T1" s="416"/>
      <c r="U1" s="416"/>
      <c r="V1" s="416"/>
      <c r="W1" s="416"/>
      <c r="X1" s="416"/>
      <c r="Y1" s="365"/>
      <c r="Z1" s="416" t="s">
        <v>241</v>
      </c>
      <c r="AA1" s="416"/>
      <c r="AB1" s="416"/>
      <c r="AC1" s="416"/>
      <c r="AD1" s="416"/>
      <c r="AE1" s="416"/>
      <c r="AF1" s="419"/>
      <c r="AG1" s="415" t="s">
        <v>242</v>
      </c>
      <c r="AH1" s="416"/>
      <c r="AI1" s="416"/>
      <c r="AJ1" s="416"/>
      <c r="AK1" s="416"/>
      <c r="AL1" s="416"/>
      <c r="AM1" s="416"/>
      <c r="AN1" s="416"/>
      <c r="AO1" s="416"/>
      <c r="AP1" s="416"/>
      <c r="AQ1" s="416"/>
      <c r="AR1" s="416"/>
      <c r="AS1" s="416"/>
      <c r="AT1" s="126"/>
      <c r="AU1" s="416" t="s">
        <v>243</v>
      </c>
      <c r="AV1" s="416"/>
      <c r="AW1" s="416"/>
      <c r="AX1" s="416"/>
      <c r="AY1" s="416"/>
      <c r="AZ1" s="416"/>
      <c r="BA1" s="416"/>
      <c r="BB1" s="416"/>
      <c r="BC1" s="416"/>
      <c r="BD1" s="416"/>
      <c r="BE1" s="416"/>
      <c r="BF1" s="416"/>
      <c r="BG1" s="112"/>
      <c r="BH1" s="415" t="s">
        <v>244</v>
      </c>
      <c r="BI1" s="416"/>
      <c r="BJ1" s="416"/>
      <c r="BK1" s="416"/>
      <c r="BL1" s="416"/>
      <c r="BM1" s="416"/>
      <c r="BN1" s="416"/>
      <c r="BO1" s="416"/>
      <c r="BP1" s="416"/>
      <c r="BQ1" s="416"/>
      <c r="BR1" s="416"/>
      <c r="BS1" s="419"/>
      <c r="BT1" s="112"/>
      <c r="BU1" s="418" t="s">
        <v>245</v>
      </c>
      <c r="BV1" s="418"/>
      <c r="BW1" s="418"/>
      <c r="BX1" s="418"/>
      <c r="BY1" s="418"/>
      <c r="BZ1" s="418"/>
      <c r="CA1" s="418"/>
      <c r="CB1" s="418"/>
      <c r="CC1" s="418"/>
      <c r="CD1" s="418"/>
      <c r="CE1" s="418"/>
      <c r="CF1" s="418"/>
      <c r="CG1" s="418"/>
      <c r="CH1" s="418"/>
      <c r="CI1" s="122"/>
      <c r="CJ1" s="415" t="s">
        <v>246</v>
      </c>
      <c r="CK1" s="416"/>
      <c r="CL1" s="279"/>
      <c r="CM1" s="279"/>
      <c r="CN1" s="279"/>
      <c r="CO1" s="279"/>
      <c r="CP1" s="279"/>
      <c r="CQ1" s="279"/>
      <c r="CR1" s="126"/>
      <c r="CS1" s="416" t="s">
        <v>247</v>
      </c>
      <c r="CT1" s="416"/>
      <c r="CU1" s="416"/>
      <c r="CV1" s="416"/>
      <c r="CW1" s="416"/>
      <c r="CX1" s="416"/>
      <c r="CY1" s="416"/>
      <c r="CZ1" s="416"/>
      <c r="DA1" s="416"/>
      <c r="DB1" s="416"/>
      <c r="DC1" s="416"/>
      <c r="DD1" s="416"/>
      <c r="DE1" s="112"/>
      <c r="DF1" s="415" t="s">
        <v>249</v>
      </c>
      <c r="DG1" s="416"/>
      <c r="DH1" s="416"/>
      <c r="DI1" s="416"/>
      <c r="DJ1" s="416"/>
      <c r="DK1" s="416"/>
      <c r="DL1" s="126"/>
      <c r="DM1" s="415" t="s">
        <v>6095</v>
      </c>
      <c r="DN1" s="416"/>
      <c r="DO1" s="416"/>
      <c r="DP1" s="416"/>
      <c r="DQ1" s="416"/>
      <c r="DR1" s="416"/>
      <c r="DS1" s="369"/>
      <c r="DT1" s="415" t="s">
        <v>12</v>
      </c>
      <c r="DU1" s="416"/>
      <c r="DV1" s="416"/>
      <c r="DW1" s="416"/>
      <c r="DX1" s="416"/>
      <c r="DY1" s="416"/>
      <c r="DZ1" s="416"/>
      <c r="EA1" s="416"/>
      <c r="EB1" s="416"/>
      <c r="EC1" s="126"/>
      <c r="ED1" s="416" t="s">
        <v>250</v>
      </c>
      <c r="EE1" s="416"/>
      <c r="EF1" s="416"/>
      <c r="EG1" s="416"/>
      <c r="EH1" s="416"/>
      <c r="EI1" s="416"/>
      <c r="EJ1" s="416"/>
      <c r="EK1" s="416"/>
      <c r="EL1" s="112"/>
      <c r="EM1" s="417" t="s">
        <v>251</v>
      </c>
      <c r="EN1" s="418"/>
      <c r="EO1" s="418"/>
      <c r="EP1" s="231"/>
      <c r="EQ1" s="231"/>
      <c r="ER1" s="231"/>
      <c r="ES1" s="231"/>
      <c r="ET1" s="231"/>
      <c r="EU1" s="231"/>
      <c r="EV1" s="136"/>
      <c r="EW1" s="416" t="s">
        <v>248</v>
      </c>
      <c r="EX1" s="416"/>
      <c r="EY1" s="416"/>
      <c r="EZ1" s="416"/>
      <c r="FA1" s="416"/>
      <c r="FB1" s="416"/>
      <c r="FC1" s="416"/>
      <c r="FD1" s="147"/>
    </row>
    <row r="2" spans="1:160" s="84" customFormat="1" ht="15" customHeight="1">
      <c r="A2" s="120" t="s">
        <v>0</v>
      </c>
      <c r="B2" s="129" t="s">
        <v>227</v>
      </c>
      <c r="C2" s="113" t="s">
        <v>164</v>
      </c>
      <c r="D2" s="113" t="s">
        <v>5953</v>
      </c>
      <c r="E2" s="113" t="s">
        <v>5954</v>
      </c>
      <c r="F2" s="113" t="s">
        <v>1015</v>
      </c>
      <c r="G2" s="113">
        <v>1</v>
      </c>
      <c r="H2" s="113">
        <v>2</v>
      </c>
      <c r="I2" s="113">
        <v>3</v>
      </c>
      <c r="J2" s="113">
        <v>4</v>
      </c>
      <c r="K2" s="113">
        <v>5</v>
      </c>
      <c r="L2" s="130"/>
      <c r="M2" s="121" t="s">
        <v>227</v>
      </c>
      <c r="N2" s="113" t="s">
        <v>164</v>
      </c>
      <c r="O2" s="113" t="s">
        <v>1015</v>
      </c>
      <c r="P2" s="113">
        <v>1</v>
      </c>
      <c r="Q2" s="113">
        <v>2</v>
      </c>
      <c r="R2" s="113">
        <v>3</v>
      </c>
      <c r="S2" s="113">
        <v>4</v>
      </c>
      <c r="T2" s="113">
        <v>5</v>
      </c>
      <c r="U2" s="113">
        <v>6</v>
      </c>
      <c r="V2" s="113">
        <v>7</v>
      </c>
      <c r="W2" s="113">
        <v>8</v>
      </c>
      <c r="X2" s="113">
        <v>9</v>
      </c>
      <c r="Y2" s="113"/>
      <c r="Z2" s="121" t="s">
        <v>227</v>
      </c>
      <c r="AA2" s="113" t="s">
        <v>164</v>
      </c>
      <c r="AB2" s="113" t="s">
        <v>995</v>
      </c>
      <c r="AC2" s="113" t="s">
        <v>996</v>
      </c>
      <c r="AD2" s="121" t="s">
        <v>229</v>
      </c>
      <c r="AE2" s="293" t="s">
        <v>4073</v>
      </c>
      <c r="AF2" s="113"/>
      <c r="AG2" s="129" t="s">
        <v>227</v>
      </c>
      <c r="AH2" s="113" t="s">
        <v>164</v>
      </c>
      <c r="AI2" s="113" t="s">
        <v>1015</v>
      </c>
      <c r="AJ2" s="113" t="s">
        <v>1014</v>
      </c>
      <c r="AK2" s="113">
        <v>1</v>
      </c>
      <c r="AL2" s="113">
        <v>2</v>
      </c>
      <c r="AM2" s="113">
        <v>3</v>
      </c>
      <c r="AN2" s="113">
        <v>4</v>
      </c>
      <c r="AO2" s="113">
        <v>5</v>
      </c>
      <c r="AP2" s="113">
        <v>6</v>
      </c>
      <c r="AQ2" s="113">
        <v>7</v>
      </c>
      <c r="AR2" s="113">
        <v>8</v>
      </c>
      <c r="AS2" s="113">
        <v>9</v>
      </c>
      <c r="AT2" s="130"/>
      <c r="AU2" s="121" t="s">
        <v>227</v>
      </c>
      <c r="AV2" s="113" t="s">
        <v>164</v>
      </c>
      <c r="AW2" s="113" t="s">
        <v>1015</v>
      </c>
      <c r="AX2" s="113">
        <v>1</v>
      </c>
      <c r="AY2" s="113">
        <v>2</v>
      </c>
      <c r="AZ2" s="113">
        <v>3</v>
      </c>
      <c r="BA2" s="113">
        <v>4</v>
      </c>
      <c r="BB2" s="113">
        <v>5</v>
      </c>
      <c r="BC2" s="113">
        <v>6</v>
      </c>
      <c r="BD2" s="113">
        <v>7</v>
      </c>
      <c r="BE2" s="113">
        <v>8</v>
      </c>
      <c r="BF2" s="113">
        <v>9</v>
      </c>
      <c r="BG2" s="113"/>
      <c r="BH2" s="129" t="s">
        <v>227</v>
      </c>
      <c r="BI2" s="113" t="s">
        <v>164</v>
      </c>
      <c r="BJ2" s="113" t="s">
        <v>1015</v>
      </c>
      <c r="BK2" s="113">
        <v>1</v>
      </c>
      <c r="BL2" s="113">
        <v>2</v>
      </c>
      <c r="BM2" s="113">
        <v>3</v>
      </c>
      <c r="BN2" s="113">
        <v>4</v>
      </c>
      <c r="BO2" s="113">
        <v>5</v>
      </c>
      <c r="BP2" s="113">
        <v>6</v>
      </c>
      <c r="BQ2" s="113">
        <v>7</v>
      </c>
      <c r="BR2" s="113">
        <v>8</v>
      </c>
      <c r="BS2" s="113">
        <v>9</v>
      </c>
      <c r="BT2" s="143"/>
      <c r="BU2" s="121" t="s">
        <v>227</v>
      </c>
      <c r="BV2" s="113" t="s">
        <v>998</v>
      </c>
      <c r="BW2" s="113" t="s">
        <v>164</v>
      </c>
      <c r="BX2" s="113" t="s">
        <v>1015</v>
      </c>
      <c r="BY2" s="113" t="s">
        <v>1014</v>
      </c>
      <c r="BZ2" s="113">
        <v>1</v>
      </c>
      <c r="CA2" s="113">
        <v>2</v>
      </c>
      <c r="CB2" s="113">
        <v>3</v>
      </c>
      <c r="CC2" s="113">
        <v>4</v>
      </c>
      <c r="CD2" s="113">
        <v>5</v>
      </c>
      <c r="CE2" s="113">
        <v>6</v>
      </c>
      <c r="CF2" s="113">
        <v>7</v>
      </c>
      <c r="CG2" s="113">
        <v>8</v>
      </c>
      <c r="CH2" s="113">
        <v>9</v>
      </c>
      <c r="CI2" s="113"/>
      <c r="CJ2" s="129" t="s">
        <v>227</v>
      </c>
      <c r="CK2" s="113" t="s">
        <v>164</v>
      </c>
      <c r="CL2" s="113" t="s">
        <v>1015</v>
      </c>
      <c r="CM2" s="113" t="s">
        <v>1014</v>
      </c>
      <c r="CN2" s="113">
        <v>1</v>
      </c>
      <c r="CO2" s="113">
        <v>2</v>
      </c>
      <c r="CP2" s="113">
        <v>3</v>
      </c>
      <c r="CQ2" s="113">
        <v>4</v>
      </c>
      <c r="CR2" s="130"/>
      <c r="CS2" s="121" t="s">
        <v>227</v>
      </c>
      <c r="CT2" s="113" t="s">
        <v>164</v>
      </c>
      <c r="CU2" s="113" t="s">
        <v>1015</v>
      </c>
      <c r="CV2" s="113">
        <v>1</v>
      </c>
      <c r="CW2" s="113">
        <v>2</v>
      </c>
      <c r="CX2" s="113">
        <v>3</v>
      </c>
      <c r="CY2" s="113">
        <v>4</v>
      </c>
      <c r="CZ2" s="113">
        <v>5</v>
      </c>
      <c r="DA2" s="113">
        <v>6</v>
      </c>
      <c r="DB2" s="113">
        <v>7</v>
      </c>
      <c r="DC2" s="113">
        <v>8</v>
      </c>
      <c r="DD2" s="113">
        <v>9</v>
      </c>
      <c r="DE2" s="113"/>
      <c r="DF2" s="129" t="s">
        <v>227</v>
      </c>
      <c r="DG2" s="121" t="s">
        <v>228</v>
      </c>
      <c r="DH2" s="121" t="s">
        <v>163</v>
      </c>
      <c r="DI2" s="121" t="s">
        <v>229</v>
      </c>
      <c r="DJ2" s="293" t="s">
        <v>4073</v>
      </c>
      <c r="DK2" s="121" t="s">
        <v>164</v>
      </c>
      <c r="DL2" s="127"/>
      <c r="DM2" s="129" t="s">
        <v>227</v>
      </c>
      <c r="DN2" s="121" t="s">
        <v>164</v>
      </c>
      <c r="DO2" s="121" t="s">
        <v>6100</v>
      </c>
      <c r="DP2" s="121" t="s">
        <v>6101</v>
      </c>
      <c r="DQ2" s="121" t="s">
        <v>6102</v>
      </c>
      <c r="DR2" s="121" t="s">
        <v>6103</v>
      </c>
      <c r="DS2" s="127"/>
      <c r="DT2" s="129" t="s">
        <v>227</v>
      </c>
      <c r="DU2" s="113" t="s">
        <v>164</v>
      </c>
      <c r="DV2" s="113" t="s">
        <v>1014</v>
      </c>
      <c r="DW2" s="113" t="s">
        <v>3264</v>
      </c>
      <c r="DX2" s="113">
        <v>1</v>
      </c>
      <c r="DY2" s="113">
        <v>2</v>
      </c>
      <c r="DZ2" s="113">
        <v>3</v>
      </c>
      <c r="EA2" s="113">
        <v>4</v>
      </c>
      <c r="EB2" s="113">
        <v>5</v>
      </c>
      <c r="EC2" s="130"/>
      <c r="ED2" s="121" t="s">
        <v>227</v>
      </c>
      <c r="EE2" s="113" t="s">
        <v>164</v>
      </c>
      <c r="EF2" s="113" t="s">
        <v>1014</v>
      </c>
      <c r="EG2" s="113">
        <v>1</v>
      </c>
      <c r="EH2" s="113">
        <v>2</v>
      </c>
      <c r="EI2" s="113">
        <v>3</v>
      </c>
      <c r="EJ2" s="113">
        <v>4</v>
      </c>
      <c r="EK2" s="113">
        <v>5</v>
      </c>
      <c r="EL2" s="113"/>
      <c r="EM2" s="129" t="s">
        <v>227</v>
      </c>
      <c r="EN2" s="113" t="s">
        <v>1010</v>
      </c>
      <c r="EO2" s="113" t="s">
        <v>164</v>
      </c>
      <c r="EP2" s="113" t="s">
        <v>1016</v>
      </c>
      <c r="EQ2" s="113" t="s">
        <v>1014</v>
      </c>
      <c r="ER2" s="113">
        <v>1</v>
      </c>
      <c r="ES2" s="113">
        <v>2</v>
      </c>
      <c r="ET2" s="113">
        <v>3</v>
      </c>
      <c r="EU2" s="113">
        <v>4</v>
      </c>
      <c r="EV2" s="130"/>
      <c r="EW2" s="121" t="s">
        <v>227</v>
      </c>
      <c r="EX2" s="137" t="s">
        <v>164</v>
      </c>
      <c r="EY2" s="113" t="s">
        <v>1016</v>
      </c>
      <c r="EZ2" s="113" t="s">
        <v>1014</v>
      </c>
      <c r="FA2" s="113" t="s">
        <v>1013</v>
      </c>
      <c r="FB2" s="113" t="s">
        <v>1011</v>
      </c>
      <c r="FC2" s="113" t="s">
        <v>1012</v>
      </c>
      <c r="FD2" s="114"/>
    </row>
    <row r="3" spans="1:160" ht="15" customHeight="1">
      <c r="A3" s="123">
        <v>1</v>
      </c>
      <c r="B3" s="90">
        <v>2</v>
      </c>
      <c r="C3" s="80" t="s">
        <v>5955</v>
      </c>
      <c r="D3" s="90">
        <v>0</v>
      </c>
      <c r="E3" s="90">
        <v>0</v>
      </c>
      <c r="F3" s="90">
        <v>2</v>
      </c>
      <c r="G3" s="90">
        <v>2</v>
      </c>
      <c r="H3" s="90">
        <v>0</v>
      </c>
      <c r="I3" s="90">
        <v>0</v>
      </c>
      <c r="J3" s="90">
        <v>0</v>
      </c>
      <c r="K3" s="90">
        <v>0</v>
      </c>
      <c r="L3" s="132" t="str">
        <f t="shared" ref="L3:L22" si="0">""""&amp;$B$1&amp;"-"&amp;$A3&amp;""" : {
""Capacities"":["&amp;C3&amp;"],
""MinorSpellsNb"": "&amp;F3&amp;",
""Locations"": {
""1"":"&amp;G3&amp;",
""2"":"&amp;H3&amp;",
""3"":"&amp;I3&amp;",
""4"":"&amp;J3&amp;",
""5"":"&amp;K3&amp;"},
""Impregnation"": "&amp;D3&amp;",
""ImpregnatedObjects"": "&amp;E3&amp;"
}"</f>
        <v>"ARTIFICER-1" : {
"Capacities":["Incantations", "Bricolage magique"],
"MinorSpellsNb": 2,
"Locations": {
"1":2,
"2":0,
"3":0,
"4":0,
"5":0},
"Impregnation": 0,
"ImpregnatedObjects": 0
}</v>
      </c>
      <c r="M3" s="90">
        <v>2</v>
      </c>
      <c r="N3" s="80" t="s">
        <v>3051</v>
      </c>
      <c r="O3" s="90">
        <v>3</v>
      </c>
      <c r="P3" s="80">
        <v>2</v>
      </c>
      <c r="Q3" s="80">
        <v>0</v>
      </c>
      <c r="R3" s="80">
        <v>0</v>
      </c>
      <c r="S3" s="80">
        <v>0</v>
      </c>
      <c r="T3" s="80">
        <v>0</v>
      </c>
      <c r="U3" s="80">
        <v>0</v>
      </c>
      <c r="V3" s="80">
        <v>0</v>
      </c>
      <c r="W3" s="80">
        <v>0</v>
      </c>
      <c r="X3" s="80">
        <v>0</v>
      </c>
      <c r="Y3" s="80" t="str">
        <f t="shared" ref="Y3:Y22" si="1">""""&amp;$AU$1&amp;"-"&amp;$A3&amp;""" : {
""Capacities"":["&amp;N3&amp;"],
""MinorSpellsNb"": "&amp;O3&amp;",
""Locations"": {
""1"":"&amp;P3&amp;",
""2"":"&amp;Q3&amp;",
""3"":"&amp;R3&amp;",
""4"":"&amp;S3&amp;",
""5"":"&amp;T3&amp;",
""6"":"&amp;U3&amp;",
""7"":"&amp;V3&amp;",
""8"":"&amp;W3&amp;",
""9"":"&amp;X3&amp;"}
}"</f>
        <v>"CLERK-1" : {
"Capacities":["Incantations", "Domaine divin"],
"MinorSpellsNb": 3,
"Locations": {
"1":2,
"2":0,
"3":0,
"4":0,
"5":0,
"6":0,
"7":0,
"8":0,
"9":0}
}</v>
      </c>
      <c r="Z3" s="5">
        <v>2</v>
      </c>
      <c r="AA3" s="34" t="s">
        <v>2960</v>
      </c>
      <c r="AB3" s="5">
        <v>2</v>
      </c>
      <c r="AC3" s="5">
        <v>2</v>
      </c>
      <c r="AD3" s="169">
        <v>0</v>
      </c>
      <c r="AE3" s="169"/>
      <c r="AF3" s="142" t="str">
        <f t="shared" ref="AF3:AF22" si="2">""""&amp;$Z$1&amp;"-"&amp;$A3&amp;""": {
""Capacities"": ["&amp;AA3&amp;"],
""Specials"": "&amp;AB3&amp;",
""Damages"": "&amp;AC3&amp;",
""ArmourlessSpeed"": "&amp;SUBSTITUTE(AD3,",",".")&amp;",
""ArmourlessCategories"": ["&amp;AE3&amp;"]
}"</f>
        <v>"BARBARIAN-1": {
"Capacities": ["Rage", "Défense sans armure"],
"Specials": 2,
"Damages": 2,
"ArmourlessSpeed": 0,
"ArmourlessCategories": []
}</v>
      </c>
      <c r="AG3" s="131">
        <v>2</v>
      </c>
      <c r="AH3" s="34" t="s">
        <v>3061</v>
      </c>
      <c r="AI3" s="5">
        <v>2</v>
      </c>
      <c r="AJ3" s="5">
        <v>4</v>
      </c>
      <c r="AK3" s="34">
        <v>2</v>
      </c>
      <c r="AL3" s="34">
        <v>0</v>
      </c>
      <c r="AM3" s="34">
        <v>0</v>
      </c>
      <c r="AN3" s="34">
        <v>0</v>
      </c>
      <c r="AO3" s="34">
        <v>0</v>
      </c>
      <c r="AP3" s="34">
        <v>0</v>
      </c>
      <c r="AQ3" s="34">
        <v>0</v>
      </c>
      <c r="AR3" s="34">
        <v>0</v>
      </c>
      <c r="AS3" s="34">
        <v>0</v>
      </c>
      <c r="AT3" s="132" t="str">
        <f t="shared" ref="AT3:AT22" si="3">""""&amp;$AG$1&amp;"-"&amp;$A3&amp;""" : {
""Capacities"":["&amp;AH3&amp;"],
""MinorSpellsNb"": "&amp;AI3&amp;",
""SpellsNb"": "&amp;AJ3&amp;",
""Locations"": {
""1"":"&amp;AK3&amp;",
""2"":"&amp;AL3&amp;",
""3"":"&amp;AM3&amp;",
""4"":"&amp;AN3&amp;",
""5"":"&amp;AO3&amp;",
""6"":"&amp;AP3&amp;",
""7"":"&amp;AQ3&amp;",
""8"":"&amp;AR3&amp;",
""9"":"&amp;AS3&amp;"}
}"</f>
        <v>"BARD-1" : {
"Capacities":["Incantations", "Inspiration bardique (d6)"],
"MinorSpellsNb": 2,
"SpellsNb": 4,
"Locations": {
"1":2,
"2":0,
"3":0,
"4":0,
"5":0,
"6":0,
"7":0,
"8":0,
"9":0}
}</v>
      </c>
      <c r="AU3" s="90">
        <v>2</v>
      </c>
      <c r="AV3" s="80" t="s">
        <v>3051</v>
      </c>
      <c r="AW3" s="90">
        <v>3</v>
      </c>
      <c r="AX3" s="80">
        <v>2</v>
      </c>
      <c r="AY3" s="80">
        <v>0</v>
      </c>
      <c r="AZ3" s="80">
        <v>0</v>
      </c>
      <c r="BA3" s="80">
        <v>0</v>
      </c>
      <c r="BB3" s="80">
        <v>0</v>
      </c>
      <c r="BC3" s="80">
        <v>0</v>
      </c>
      <c r="BD3" s="80">
        <v>0</v>
      </c>
      <c r="BE3" s="80">
        <v>0</v>
      </c>
      <c r="BF3" s="80">
        <v>0</v>
      </c>
      <c r="BG3" s="80" t="str">
        <f t="shared" ref="BG3:BG22" si="4">""""&amp;$AU$1&amp;"-"&amp;$A3&amp;""" : {
""Capacities"":["&amp;AV3&amp;"],
""MinorSpellsNb"": "&amp;AW3&amp;",
""Locations"": {
""1"":"&amp;AX3&amp;",
""2"":"&amp;AY3&amp;",
""3"":"&amp;AZ3&amp;",
""4"":"&amp;BA3&amp;",
""5"":"&amp;BB3&amp;",
""6"":"&amp;BC3&amp;",
""7"":"&amp;BD3&amp;",
""8"":"&amp;BE3&amp;",
""9"":"&amp;BF3&amp;"}
}"</f>
        <v>"CLERK-1" : {
"Capacities":["Incantations", "Domaine divin"],
"MinorSpellsNb": 3,
"Locations": {
"1":2,
"2":0,
"3":0,
"4":0,
"5":0,
"6":0,
"7":0,
"8":0,
"9":0}
}</v>
      </c>
      <c r="BH3" s="131">
        <v>2</v>
      </c>
      <c r="BI3" s="34" t="s">
        <v>3045</v>
      </c>
      <c r="BJ3" s="5">
        <v>2</v>
      </c>
      <c r="BK3" s="34">
        <v>2</v>
      </c>
      <c r="BL3" s="34">
        <v>0</v>
      </c>
      <c r="BM3" s="34">
        <v>0</v>
      </c>
      <c r="BN3" s="34">
        <v>0</v>
      </c>
      <c r="BO3" s="34">
        <v>0</v>
      </c>
      <c r="BP3" s="34">
        <v>0</v>
      </c>
      <c r="BQ3" s="34">
        <v>0</v>
      </c>
      <c r="BR3" s="34">
        <v>0</v>
      </c>
      <c r="BS3" s="34">
        <v>0</v>
      </c>
      <c r="BT3" s="132" t="str">
        <f t="shared" ref="BT3:BT22" si="5">""""&amp;$BH$1&amp;"-"&amp;$A3&amp;""" : {
""Capacities"":["&amp;BI3&amp;"],
""MinorSpellsNb"": "&amp;BJ3&amp;",
""Locations"": {
""1"":"&amp;BK3&amp;",
""2"":"&amp;BL3&amp;",
""3"":"&amp;BM3&amp;",
""4"":"&amp;BN3&amp;",
""5"":"&amp;BO3&amp;",
""6"":"&amp;BP3&amp;",
""7"":"&amp;BQ3&amp;",
""8"":"&amp;BR3&amp;",
""9"":"&amp;BS3&amp;"}
}"</f>
        <v>"DRUID-1" : {
"Capacities":["Druidique", "Incantations"],
"MinorSpellsNb": 2,
"Locations": {
"1":2,
"2":0,
"3":0,
"4":0,
"5":0,
"6":0,
"7":0,
"8":0,
"9":0}
}</v>
      </c>
      <c r="BU3" s="5">
        <v>2</v>
      </c>
      <c r="BV3" s="5">
        <v>0</v>
      </c>
      <c r="BW3" s="34" t="s">
        <v>3040</v>
      </c>
      <c r="BX3" s="5">
        <v>4</v>
      </c>
      <c r="BY3" s="5">
        <v>2</v>
      </c>
      <c r="BZ3" s="34">
        <v>2</v>
      </c>
      <c r="CA3" s="34">
        <v>0</v>
      </c>
      <c r="CB3" s="34">
        <v>0</v>
      </c>
      <c r="CC3" s="34">
        <v>0</v>
      </c>
      <c r="CD3" s="34">
        <v>0</v>
      </c>
      <c r="CE3" s="34">
        <v>0</v>
      </c>
      <c r="CF3" s="34">
        <v>0</v>
      </c>
      <c r="CG3" s="34">
        <v>0</v>
      </c>
      <c r="CH3" s="34">
        <v>0</v>
      </c>
      <c r="CI3" s="34" t="str">
        <f t="shared" ref="CI3:CI22" si="6">""""&amp;$BU$1&amp;"-"&amp;$A3&amp;""" : {
""Capacities"":["&amp;BW3&amp;"],
""MinorSpellsNb"": "&amp;BX3&amp;",
""SpellsNb"": "&amp;BY3&amp;",
""Specials"": "&amp;BV3&amp;",
""Locations"": {
""1"":"&amp;BZ3&amp;",
""2"":"&amp;CA3&amp;",
""3"":"&amp;CB3&amp;",
""4"":"&amp;CC3&amp;",
""5"":"&amp;CD3&amp;",
""6"":"&amp;CE3&amp;",
""7"":"&amp;CF3&amp;",
""8"":"&amp;CG3&amp;",
""9"":"&amp;CH3&amp;"}
}"</f>
        <v>"SORCERER-1" : {
"Capacities":["Incantations", "Origine magique"],
"MinorSpellsNb": 4,
"SpellsNb": 2,
"Specials": 0,
"Locations": {
"1":2,
"2":0,
"3":0,
"4":0,
"5":0,
"6":0,
"7":0,
"8":0,
"9":0}
}</v>
      </c>
      <c r="CJ3" s="131">
        <v>2</v>
      </c>
      <c r="CK3" s="34" t="s">
        <v>3034</v>
      </c>
      <c r="CL3" s="5">
        <v>0</v>
      </c>
      <c r="CM3" s="5">
        <v>0</v>
      </c>
      <c r="CN3" s="5">
        <v>0</v>
      </c>
      <c r="CO3" s="5">
        <v>0</v>
      </c>
      <c r="CP3" s="5">
        <v>0</v>
      </c>
      <c r="CQ3" s="5">
        <v>0</v>
      </c>
      <c r="CR3" s="132" t="str">
        <f t="shared" ref="CR3:CR22" si="7">""""&amp;$CJ$1&amp;"-"&amp;$A3&amp;""" : {
""Capacities"":["&amp;CK3&amp;"],
""MinorSpellsNb"": "&amp;CL3&amp;",
""SpellsNb"": "&amp;CM3&amp;",
""Locations"": {
""1"":"&amp;CN3&amp;",
""2"":"&amp;CO3&amp;",
""3"":"&amp;CP3&amp;",
""4"":"&amp;CQ3&amp;"}
}"</f>
        <v>"WARRIOR-1" : {
"Capacities":["Style de combat", "Second souffle"],
"MinorSpellsNb": 0,
"SpellsNb": 0,
"Locations": {
"1":0,
"2":0,
"3":0,
"4":0}
}</v>
      </c>
      <c r="CS3" s="5">
        <v>2</v>
      </c>
      <c r="CT3" s="34" t="s">
        <v>3029</v>
      </c>
      <c r="CU3" s="5">
        <v>3</v>
      </c>
      <c r="CV3" s="5">
        <v>2</v>
      </c>
      <c r="CW3" s="5">
        <v>0</v>
      </c>
      <c r="CX3" s="5">
        <v>0</v>
      </c>
      <c r="CY3" s="5">
        <v>0</v>
      </c>
      <c r="CZ3" s="5">
        <v>0</v>
      </c>
      <c r="DA3" s="5">
        <v>0</v>
      </c>
      <c r="DB3" s="5">
        <v>0</v>
      </c>
      <c r="DC3" s="5">
        <v>0</v>
      </c>
      <c r="DD3" s="5">
        <v>0</v>
      </c>
      <c r="DE3" s="5" t="str">
        <f t="shared" ref="DE3:DE22" si="8">""""&amp;$CS$1&amp;"-"&amp;$A3&amp;""" : {
""Capacities"":["&amp;CT3&amp;"],
""MinorSpellsNb"": "&amp;CU3&amp;",
""Locations"": {
""1"":"&amp;CV3&amp;",
""2"":"&amp;CW3&amp;",
""3"":"&amp;CX3&amp;",
""4"":"&amp;CY3&amp;",
""5"":"&amp;CZ3&amp;",
""6"":"&amp;DA3&amp;",
""7"":"&amp;DB3&amp;",
""8"":"&amp;DC3&amp;",
""9"":"&amp;DD3&amp;"}
}"</f>
        <v>"MAGICIAN-1" : {
"Capacities":["Incantations", "Récupération arcanique"],
"MinorSpellsNb": 3,
"Locations": {
"1":2,
"2":0,
"3":0,
"4":0,
"5":0,
"6":0,
"7":0,
"8":0,
"9":0}
}</v>
      </c>
      <c r="DF3" s="139">
        <v>2</v>
      </c>
      <c r="DG3" s="115" t="s">
        <v>165</v>
      </c>
      <c r="DH3" s="115">
        <v>0</v>
      </c>
      <c r="DI3" s="169">
        <v>0</v>
      </c>
      <c r="DJ3" s="169"/>
      <c r="DK3" s="144" t="s">
        <v>3016</v>
      </c>
      <c r="DL3" s="128" t="str">
        <f t="shared" ref="DL3:DL22" si="9">""""&amp;$DF$1&amp;"-"&amp;$A3&amp;""" : {
""Capacities"":["&amp;DK3&amp;"],
""Specials"": "&amp;DH3&amp;",
""BonusAttack"": """&amp;DG3&amp;""",
""ArmourlessSpeed"": "&amp;SUBSTITUTE(DI3,",",".")&amp;",
""ArmourlessCategories"": ["&amp;DJ3&amp;"]
}"</f>
        <v>"MONK-1" : {
"Capacities":["Défense sans armure", "Arts martiaux"],
"Specials": 0,
"BonusAttack": "1d4",
"ArmourlessSpeed": 0,
"ArmourlessCategories": []
}</v>
      </c>
      <c r="DM3" s="90">
        <v>2</v>
      </c>
      <c r="DN3" s="80" t="s">
        <v>6130</v>
      </c>
      <c r="DO3" s="90">
        <v>1</v>
      </c>
      <c r="DP3" s="90">
        <v>1</v>
      </c>
      <c r="DQ3" s="90">
        <v>4</v>
      </c>
      <c r="DR3" s="90">
        <v>2</v>
      </c>
      <c r="DS3" s="128" t="str">
        <f>""""&amp;$DM$1&amp;"-"&amp;$A3&amp;""" : {
""Capacities"":["&amp;DN3&amp;"],
""Specials"": "&amp;DQ3&amp;",
""BonusAttack"": "&amp;DO3&amp;"
}"</f>
        <v>"MYSTICAL-1" : {
"Capacities":["Talents psioniques", "Disciplines psioniques", "Points psi", "Limite psi", "Focaliseur psychique", "Caractéristique psionique",  "Ordre mystique"],
"Specials": 4,
"BonusAttack": 1
}</v>
      </c>
      <c r="DT3" s="131">
        <v>2</v>
      </c>
      <c r="DU3" s="34" t="s">
        <v>3007</v>
      </c>
      <c r="DV3" s="34">
        <v>1</v>
      </c>
      <c r="DW3" s="34" t="s">
        <v>3265</v>
      </c>
      <c r="DX3" s="5">
        <v>0</v>
      </c>
      <c r="DY3" s="5">
        <v>0</v>
      </c>
      <c r="DZ3" s="5">
        <v>0</v>
      </c>
      <c r="EA3" s="5">
        <v>0</v>
      </c>
      <c r="EB3" s="5">
        <v>0</v>
      </c>
      <c r="EC3" s="135" t="str">
        <f t="shared" ref="EC3:EC22" si="10">""""&amp;$DT$1&amp;"-"&amp;$A3&amp;""" : {
""Capacities"":["&amp;DU3&amp;"],
""SpellsNb"": "&amp;DV3&amp;",
""SpellsNbBonus"": """&amp;DW3&amp;""",
""Locations"": {
""1"":"&amp;DX3&amp;",
""2"":"&amp;DY3&amp;",
""3"":"&amp;DZ3&amp;",
""4"":"&amp;EA3&amp;",
""5"":"&amp;EB3&amp;"}
}"</f>
        <v>"PALADIN-1" : {
"Capacities":["Sens divin", "Imposition des mains"],
"SpellsNb": 1,
"SpellsNbBonus": "CHA",
"Locations": {
"1":0,
"2":0,
"3":0,
"4":0,
"5":0}
}</v>
      </c>
      <c r="ED3" s="5">
        <v>2</v>
      </c>
      <c r="EE3" s="34" t="s">
        <v>2996</v>
      </c>
      <c r="EF3" s="5">
        <v>0</v>
      </c>
      <c r="EG3" s="5">
        <v>0</v>
      </c>
      <c r="EH3" s="5">
        <v>0</v>
      </c>
      <c r="EI3" s="5">
        <v>0</v>
      </c>
      <c r="EJ3" s="5">
        <v>0</v>
      </c>
      <c r="EK3" s="5">
        <v>0</v>
      </c>
      <c r="EL3" s="5" t="str">
        <f t="shared" ref="EL3:EL22" si="11">""""&amp;$ED$1&amp;"-"&amp;$A3&amp;""" : {
""Capacities"":["&amp;EE3&amp;"],
""SpellsNb"":"&amp;EF3&amp;",
""Locations"": {
""1"":"&amp;EG3&amp;",
""2"":"&amp;EH3&amp;",
""3"":"&amp;EI3&amp;",
""4"":"&amp;EJ3&amp;",
""5"":"&amp;EK3&amp;"}
}"</f>
        <v>"PROWLER-1" : {
"Capacities":["Ennemi juré", "Explorateur-né"],
"SpellsNb":0,
"Locations": {
"1":0,
"2":0,
"3":0,
"4":0,
"5":0}
}</v>
      </c>
      <c r="EM3" s="131">
        <v>2</v>
      </c>
      <c r="EN3" s="5" t="s">
        <v>166</v>
      </c>
      <c r="EO3" s="34" t="s">
        <v>2984</v>
      </c>
      <c r="EP3" s="5">
        <v>0</v>
      </c>
      <c r="EQ3" s="5">
        <v>0</v>
      </c>
      <c r="ER3" s="5">
        <v>0</v>
      </c>
      <c r="ES3" s="5">
        <v>0</v>
      </c>
      <c r="ET3" s="5">
        <v>0</v>
      </c>
      <c r="EU3" s="5">
        <v>0</v>
      </c>
      <c r="EV3" s="132" t="str">
        <f t="shared" ref="EV3:EV22" si="12">""""&amp;$EM$1&amp;"-"&amp;$A3&amp;""" : {
""Capacities"":["&amp;EO3&amp;"],
""BonusAttack"": """&amp;EN3&amp;""",
""MinorSpellsNb"": "&amp;EP3&amp;",
""SpellsNb"": "&amp;EQ3&amp;",
""Locations"": {
""1"":"&amp;ER3&amp;",
""2"":"&amp;ES3&amp;",
""3"":"&amp;ET3&amp;",
""4"":"&amp;EU3&amp;"
}
}"</f>
        <v>"WILY-1" : {
"Capacities":["Expertise", "Attaque sournoise", "Jargon des voleurs"],
"BonusAttack": "1d6",
"MinorSpellsNb": 0,
"SpellsNb": 0,
"Locations": {
"1":0,
"2":0,
"3":0,
"4":0
}
}</v>
      </c>
      <c r="EW3" s="5">
        <v>2</v>
      </c>
      <c r="EX3" s="34" t="s">
        <v>2974</v>
      </c>
      <c r="EY3" s="5">
        <v>2</v>
      </c>
      <c r="EZ3" s="5">
        <v>2</v>
      </c>
      <c r="FA3" s="5">
        <v>1</v>
      </c>
      <c r="FB3" s="5">
        <v>1</v>
      </c>
      <c r="FC3" s="5">
        <v>0</v>
      </c>
      <c r="FD3" s="116" t="str">
        <f t="shared" ref="FD3:FD22" si="13">""""&amp;$EW$1&amp;"-"&amp;$A3&amp;""" : {
""Capacities"":["&amp;EX3&amp;"],
""MinorSpellsNb"": "&amp;EY3&amp;",
""SpellsNb"": "&amp;EZ3&amp;",
""Locations"": {"""&amp;FB3&amp;""":"&amp;FA3&amp;"},
""Invocations"": "&amp;FC3&amp;"
}"</f>
        <v>"WIZARD-1" : {
"Capacities":["Patron d'Outremonde", "Magie de pacte"],
"MinorSpellsNb": 2,
"SpellsNb": 2,
"Locations": {"1":1},
"Invocations": 0
}</v>
      </c>
    </row>
    <row r="4" spans="1:160" ht="15" customHeight="1">
      <c r="A4" s="124">
        <v>2</v>
      </c>
      <c r="B4" s="91">
        <v>2</v>
      </c>
      <c r="C4" s="78" t="s">
        <v>5956</v>
      </c>
      <c r="D4" s="91">
        <v>4</v>
      </c>
      <c r="E4" s="91">
        <v>2</v>
      </c>
      <c r="F4" s="91">
        <v>2</v>
      </c>
      <c r="G4" s="91">
        <v>2</v>
      </c>
      <c r="H4" s="91">
        <v>0</v>
      </c>
      <c r="I4" s="91">
        <v>0</v>
      </c>
      <c r="J4" s="91">
        <v>0</v>
      </c>
      <c r="K4" s="91">
        <v>0</v>
      </c>
      <c r="L4" s="132" t="str">
        <f t="shared" si="0"/>
        <v>"ARTIFICER-2" : {
"Capacities":["Imprégnation d'objet"],
"MinorSpellsNb": 2,
"Locations": {
"1":2,
"2":0,
"3":0,
"4":0,
"5":0},
"Impregnation": 4,
"ImpregnatedObjects": 2
}</v>
      </c>
      <c r="M4" s="91">
        <v>2</v>
      </c>
      <c r="N4" s="78" t="s">
        <v>3893</v>
      </c>
      <c r="O4" s="91">
        <v>3</v>
      </c>
      <c r="P4" s="78">
        <v>3</v>
      </c>
      <c r="Q4" s="78">
        <v>0</v>
      </c>
      <c r="R4" s="78">
        <v>0</v>
      </c>
      <c r="S4" s="78">
        <v>0</v>
      </c>
      <c r="T4" s="78">
        <v>0</v>
      </c>
      <c r="U4" s="78">
        <v>0</v>
      </c>
      <c r="V4" s="78">
        <v>0</v>
      </c>
      <c r="W4" s="78">
        <v>0</v>
      </c>
      <c r="X4" s="78">
        <v>0</v>
      </c>
      <c r="Y4" s="80" t="str">
        <f t="shared" si="1"/>
        <v>"CLERK-2" : {
"Capacities":["Canalisation d’énergie divine", "Canalisation d’énergie divine : renvoi des morts-vivants"],
"MinorSpellsNb": 3,
"Locations": {
"1":3,
"2":0,
"3":0,
"4":0,
"5":0,
"6":0,
"7":0,
"8":0,
"9":0}
}</v>
      </c>
      <c r="Z4" s="4">
        <v>2</v>
      </c>
      <c r="AA4" s="31" t="s">
        <v>2961</v>
      </c>
      <c r="AB4" s="4">
        <v>2</v>
      </c>
      <c r="AC4" s="4">
        <v>2</v>
      </c>
      <c r="AD4" s="170">
        <v>0</v>
      </c>
      <c r="AE4" s="170"/>
      <c r="AF4" s="142" t="str">
        <f t="shared" si="2"/>
        <v>"BARBARIAN-2": {
"Capacities": ["Attaque téméraire", "Sens du danger"],
"Specials": 2,
"Damages": 2,
"ArmourlessSpeed": 0,
"ArmourlessCategories": []
}</v>
      </c>
      <c r="AG4" s="133">
        <v>2</v>
      </c>
      <c r="AH4" s="31" t="s">
        <v>3062</v>
      </c>
      <c r="AI4" s="4">
        <v>2</v>
      </c>
      <c r="AJ4" s="4">
        <v>5</v>
      </c>
      <c r="AK4" s="31">
        <v>3</v>
      </c>
      <c r="AL4" s="31">
        <v>0</v>
      </c>
      <c r="AM4" s="31">
        <v>0</v>
      </c>
      <c r="AN4" s="31">
        <v>0</v>
      </c>
      <c r="AO4" s="31">
        <v>0</v>
      </c>
      <c r="AP4" s="31">
        <v>0</v>
      </c>
      <c r="AQ4" s="31">
        <v>0</v>
      </c>
      <c r="AR4" s="31">
        <v>0</v>
      </c>
      <c r="AS4" s="31">
        <v>0</v>
      </c>
      <c r="AT4" s="132" t="str">
        <f t="shared" si="3"/>
        <v>"BARD-2" : {
"Capacities":["Touche-à-tout", "Chant de repos (d6)"],
"MinorSpellsNb": 2,
"SpellsNb": 5,
"Locations": {
"1":3,
"2":0,
"3":0,
"4":0,
"5":0,
"6":0,
"7":0,
"8":0,
"9":0}
}</v>
      </c>
      <c r="AU4" s="91">
        <v>2</v>
      </c>
      <c r="AV4" s="78" t="s">
        <v>3893</v>
      </c>
      <c r="AW4" s="91">
        <v>3</v>
      </c>
      <c r="AX4" s="78">
        <v>3</v>
      </c>
      <c r="AY4" s="78">
        <v>0</v>
      </c>
      <c r="AZ4" s="78">
        <v>0</v>
      </c>
      <c r="BA4" s="78">
        <v>0</v>
      </c>
      <c r="BB4" s="78">
        <v>0</v>
      </c>
      <c r="BC4" s="78">
        <v>0</v>
      </c>
      <c r="BD4" s="78">
        <v>0</v>
      </c>
      <c r="BE4" s="78">
        <v>0</v>
      </c>
      <c r="BF4" s="78">
        <v>0</v>
      </c>
      <c r="BG4" s="80" t="str">
        <f t="shared" si="4"/>
        <v>"CLERK-2" : {
"Capacities":["Canalisation d’énergie divine", "Canalisation d’énergie divine : renvoi des morts-vivants"],
"MinorSpellsNb": 3,
"Locations": {
"1":3,
"2":0,
"3":0,
"4":0,
"5":0,
"6":0,
"7":0,
"8":0,
"9":0}
}</v>
      </c>
      <c r="BH4" s="133">
        <v>2</v>
      </c>
      <c r="BI4" s="31" t="s">
        <v>3046</v>
      </c>
      <c r="BJ4" s="4">
        <v>2</v>
      </c>
      <c r="BK4" s="31">
        <v>3</v>
      </c>
      <c r="BL4" s="31">
        <v>0</v>
      </c>
      <c r="BM4" s="31">
        <v>0</v>
      </c>
      <c r="BN4" s="31">
        <v>0</v>
      </c>
      <c r="BO4" s="31">
        <v>0</v>
      </c>
      <c r="BP4" s="31">
        <v>0</v>
      </c>
      <c r="BQ4" s="31">
        <v>0</v>
      </c>
      <c r="BR4" s="31">
        <v>0</v>
      </c>
      <c r="BS4" s="31">
        <v>0</v>
      </c>
      <c r="BT4" s="132" t="str">
        <f t="shared" si="5"/>
        <v>"DRUID-2" : {
"Capacities":["Forme sauvage", "Cercle druidique"],
"MinorSpellsNb": 2,
"Locations": {
"1":3,
"2":0,
"3":0,
"4":0,
"5":0,
"6":0,
"7":0,
"8":0,
"9":0}
}</v>
      </c>
      <c r="BU4" s="4">
        <v>2</v>
      </c>
      <c r="BV4" s="4">
        <v>2</v>
      </c>
      <c r="BW4" s="31" t="s">
        <v>3041</v>
      </c>
      <c r="BX4" s="4">
        <v>4</v>
      </c>
      <c r="BY4" s="4">
        <v>3</v>
      </c>
      <c r="BZ4" s="31">
        <v>3</v>
      </c>
      <c r="CA4" s="31">
        <v>0</v>
      </c>
      <c r="CB4" s="31">
        <v>0</v>
      </c>
      <c r="CC4" s="31">
        <v>0</v>
      </c>
      <c r="CD4" s="31">
        <v>0</v>
      </c>
      <c r="CE4" s="31">
        <v>0</v>
      </c>
      <c r="CF4" s="31">
        <v>0</v>
      </c>
      <c r="CG4" s="31">
        <v>0</v>
      </c>
      <c r="CH4" s="31">
        <v>0</v>
      </c>
      <c r="CI4" s="34" t="str">
        <f t="shared" si="6"/>
        <v>"SORCERER-2" : {
"Capacities":["Source de magie"],
"MinorSpellsNb": 4,
"SpellsNb": 3,
"Specials": 2,
"Locations": {
"1":3,
"2":0,
"3":0,
"4":0,
"5":0,
"6":0,
"7":0,
"8":0,
"9":0}
}</v>
      </c>
      <c r="CJ4" s="133">
        <v>2</v>
      </c>
      <c r="CK4" s="31" t="s">
        <v>3911</v>
      </c>
      <c r="CL4" s="4">
        <v>0</v>
      </c>
      <c r="CM4" s="4">
        <v>0</v>
      </c>
      <c r="CN4" s="4">
        <v>0</v>
      </c>
      <c r="CO4" s="4">
        <v>0</v>
      </c>
      <c r="CP4" s="4">
        <v>0</v>
      </c>
      <c r="CQ4" s="4">
        <v>0</v>
      </c>
      <c r="CR4" s="132" t="str">
        <f t="shared" si="7"/>
        <v>"WARRIOR-2" : {
"Capacities":["Sursaut"],
"MinorSpellsNb": 0,
"SpellsNb": 0,
"Locations": {
"1":0,
"2":0,
"3":0,
"4":0}
}</v>
      </c>
      <c r="CS4" s="4">
        <v>2</v>
      </c>
      <c r="CT4" s="31" t="s">
        <v>3030</v>
      </c>
      <c r="CU4" s="4">
        <v>3</v>
      </c>
      <c r="CV4" s="4">
        <v>3</v>
      </c>
      <c r="CW4" s="4">
        <v>0</v>
      </c>
      <c r="CX4" s="4">
        <v>0</v>
      </c>
      <c r="CY4" s="4">
        <v>0</v>
      </c>
      <c r="CZ4" s="4">
        <v>0</v>
      </c>
      <c r="DA4" s="4">
        <v>0</v>
      </c>
      <c r="DB4" s="4">
        <v>0</v>
      </c>
      <c r="DC4" s="4">
        <v>0</v>
      </c>
      <c r="DD4" s="4">
        <v>0</v>
      </c>
      <c r="DE4" s="5" t="str">
        <f t="shared" si="8"/>
        <v>"MAGICIAN-2" : {
"Capacities":["Tradition arcanique"],
"MinorSpellsNb": 3,
"Locations": {
"1":3,
"2":0,
"3":0,
"4":0,
"5":0,
"6":0,
"7":0,
"8":0,
"9":0}
}</v>
      </c>
      <c r="DF4" s="140">
        <v>2</v>
      </c>
      <c r="DG4" s="117" t="s">
        <v>165</v>
      </c>
      <c r="DH4" s="117">
        <v>2</v>
      </c>
      <c r="DI4" s="170">
        <v>3</v>
      </c>
      <c r="DJ4" s="170" t="s">
        <v>4074</v>
      </c>
      <c r="DK4" s="145" t="s">
        <v>3069</v>
      </c>
      <c r="DL4" s="128" t="str">
        <f t="shared" si="9"/>
        <v>"MONK-2" : {
"Capacities":["Défense patiente", "Déluge de coups", "Déplacement aérien", "Déplacement sans armure"],
"Specials": 2,
"BonusAttack": "1d4",
"ArmourlessSpeed": 3,
"ArmourlessCategories": ["1_LIGHT", "2_MID", "3_HEAVY"]
}</v>
      </c>
      <c r="DM4" s="91">
        <v>2</v>
      </c>
      <c r="DN4" s="78" t="s">
        <v>6104</v>
      </c>
      <c r="DO4" s="91">
        <v>1</v>
      </c>
      <c r="DP4" s="91">
        <v>1</v>
      </c>
      <c r="DQ4" s="91">
        <v>6</v>
      </c>
      <c r="DR4" s="91">
        <v>2</v>
      </c>
      <c r="DS4" s="128" t="str">
        <f t="shared" ref="DS4:DS21" si="14">""""&amp;$DM$1&amp;"-"&amp;$A4&amp;""" : {
""Capacities"":["&amp;DN4&amp;"],
""Specials"": "&amp;DQ4&amp;",
""BonusAttack"": "&amp;DO4&amp;"
}"</f>
        <v>"MYSTICAL-2" : {
"Capacities":["Récupération mystique", "Télépathie"],
"Specials": 6,
"BonusAttack": 1
}</v>
      </c>
      <c r="DT4" s="133">
        <v>2</v>
      </c>
      <c r="DU4" s="31" t="s">
        <v>3008</v>
      </c>
      <c r="DV4" s="31">
        <v>1</v>
      </c>
      <c r="DW4" s="31" t="s">
        <v>3265</v>
      </c>
      <c r="DX4" s="4">
        <v>2</v>
      </c>
      <c r="DY4" s="4">
        <v>0</v>
      </c>
      <c r="DZ4" s="4">
        <v>0</v>
      </c>
      <c r="EA4" s="4">
        <v>0</v>
      </c>
      <c r="EB4" s="4">
        <v>0</v>
      </c>
      <c r="EC4" s="135" t="str">
        <f t="shared" si="10"/>
        <v>"PALADIN-2" : {
"Capacities":["Style de combat", "Incantations", "Châtiment divin"],
"SpellsNb": 1,
"SpellsNbBonus": "CHA",
"Locations": {
"1":2,
"2":0,
"3":0,
"4":0,
"5":0}
}</v>
      </c>
      <c r="ED4" s="4">
        <v>2</v>
      </c>
      <c r="EE4" s="31" t="s">
        <v>2997</v>
      </c>
      <c r="EF4" s="4">
        <v>2</v>
      </c>
      <c r="EG4" s="4">
        <v>2</v>
      </c>
      <c r="EH4" s="4">
        <v>0</v>
      </c>
      <c r="EI4" s="4">
        <v>0</v>
      </c>
      <c r="EJ4" s="4">
        <v>0</v>
      </c>
      <c r="EK4" s="4">
        <v>0</v>
      </c>
      <c r="EL4" s="5" t="str">
        <f t="shared" si="11"/>
        <v>"PROWLER-2" : {
"Capacities":["Style de combat", "Incantations"],
"SpellsNb":2,
"Locations": {
"1":2,
"2":0,
"3":0,
"4":0,
"5":0}
}</v>
      </c>
      <c r="EM4" s="133">
        <v>2</v>
      </c>
      <c r="EN4" s="4" t="s">
        <v>166</v>
      </c>
      <c r="EO4" s="31" t="s">
        <v>2985</v>
      </c>
      <c r="EP4" s="4">
        <v>0</v>
      </c>
      <c r="EQ4" s="4">
        <v>0</v>
      </c>
      <c r="ER4" s="4">
        <v>0</v>
      </c>
      <c r="ES4" s="4">
        <v>0</v>
      </c>
      <c r="ET4" s="4">
        <v>0</v>
      </c>
      <c r="EU4" s="4">
        <v>0</v>
      </c>
      <c r="EV4" s="132" t="str">
        <f t="shared" si="12"/>
        <v>"WILY-2" : {
"Capacities":["Ruse"],
"BonusAttack": "1d6",
"MinorSpellsNb": 0,
"SpellsNb": 0,
"Locations": {
"1":0,
"2":0,
"3":0,
"4":0
}
}</v>
      </c>
      <c r="EW4" s="4">
        <v>2</v>
      </c>
      <c r="EX4" s="31" t="s">
        <v>2975</v>
      </c>
      <c r="EY4" s="4">
        <v>2</v>
      </c>
      <c r="EZ4" s="4">
        <v>3</v>
      </c>
      <c r="FA4" s="4">
        <v>2</v>
      </c>
      <c r="FB4" s="4">
        <v>1</v>
      </c>
      <c r="FC4" s="4">
        <v>2</v>
      </c>
      <c r="FD4" s="116" t="str">
        <f t="shared" si="13"/>
        <v>"WIZARD-2" : {
"Capacities":["Invocations occultes"],
"MinorSpellsNb": 2,
"SpellsNb": 3,
"Locations": {"1":2},
"Invocations": 2
}</v>
      </c>
    </row>
    <row r="5" spans="1:160" ht="15" customHeight="1">
      <c r="A5" s="123">
        <v>3</v>
      </c>
      <c r="B5" s="90">
        <v>2</v>
      </c>
      <c r="C5" s="80" t="s">
        <v>5957</v>
      </c>
      <c r="D5" s="90">
        <v>4</v>
      </c>
      <c r="E5" s="90">
        <v>2</v>
      </c>
      <c r="F5" s="90">
        <v>2</v>
      </c>
      <c r="G5" s="90">
        <v>3</v>
      </c>
      <c r="H5" s="90">
        <v>0</v>
      </c>
      <c r="I5" s="90">
        <v>0</v>
      </c>
      <c r="J5" s="90">
        <v>0</v>
      </c>
      <c r="K5" s="90">
        <v>0</v>
      </c>
      <c r="L5" s="132" t="str">
        <f t="shared" si="0"/>
        <v>"ARTIFICER-3" : {
"Capacities":["Spécialité d'artificier", "Outil adéquat"],
"MinorSpellsNb": 2,
"Locations": {
"1":3,
"2":0,
"3":0,
"4":0,
"5":0},
"Impregnation": 4,
"ImpregnatedObjects": 2
}</v>
      </c>
      <c r="M5" s="90">
        <v>2</v>
      </c>
      <c r="N5" s="80"/>
      <c r="O5" s="90">
        <v>3</v>
      </c>
      <c r="P5" s="80">
        <v>4</v>
      </c>
      <c r="Q5" s="80">
        <v>2</v>
      </c>
      <c r="R5" s="80">
        <v>0</v>
      </c>
      <c r="S5" s="80">
        <v>0</v>
      </c>
      <c r="T5" s="80">
        <v>0</v>
      </c>
      <c r="U5" s="80">
        <v>0</v>
      </c>
      <c r="V5" s="80">
        <v>0</v>
      </c>
      <c r="W5" s="80">
        <v>0</v>
      </c>
      <c r="X5" s="80">
        <v>0</v>
      </c>
      <c r="Y5" s="80" t="str">
        <f t="shared" si="1"/>
        <v>"CLERK-3" : {
"Capacities":[],
"MinorSpellsNb": 3,
"Locations": {
"1":4,
"2":2,
"3":0,
"4":0,
"5":0,
"6":0,
"7":0,
"8":0,
"9":0}
}</v>
      </c>
      <c r="Z5" s="5">
        <v>2</v>
      </c>
      <c r="AA5" s="34" t="s">
        <v>2962</v>
      </c>
      <c r="AB5" s="5">
        <v>3</v>
      </c>
      <c r="AC5" s="5">
        <v>2</v>
      </c>
      <c r="AD5" s="169">
        <v>0</v>
      </c>
      <c r="AE5" s="169"/>
      <c r="AF5" s="142" t="str">
        <f t="shared" si="2"/>
        <v>"BARBARIAN-3": {
"Capacities": ["Voie primitive"],
"Specials": 3,
"Damages": 2,
"ArmourlessSpeed": 0,
"ArmourlessCategories": []
}</v>
      </c>
      <c r="AG5" s="131">
        <v>2</v>
      </c>
      <c r="AH5" s="34" t="s">
        <v>3063</v>
      </c>
      <c r="AI5" s="5">
        <v>2</v>
      </c>
      <c r="AJ5" s="5">
        <v>6</v>
      </c>
      <c r="AK5" s="34">
        <v>4</v>
      </c>
      <c r="AL5" s="34">
        <v>2</v>
      </c>
      <c r="AM5" s="34">
        <v>0</v>
      </c>
      <c r="AN5" s="34">
        <v>0</v>
      </c>
      <c r="AO5" s="34">
        <v>0</v>
      </c>
      <c r="AP5" s="34">
        <v>0</v>
      </c>
      <c r="AQ5" s="34">
        <v>0</v>
      </c>
      <c r="AR5" s="34">
        <v>0</v>
      </c>
      <c r="AS5" s="34">
        <v>0</v>
      </c>
      <c r="AT5" s="132" t="str">
        <f t="shared" si="3"/>
        <v>"BARD-3" : {
"Capacities":["Collège bardique", "Expertise"],
"MinorSpellsNb": 2,
"SpellsNb": 6,
"Locations": {
"1":4,
"2":2,
"3":0,
"4":0,
"5":0,
"6":0,
"7":0,
"8":0,
"9":0}
}</v>
      </c>
      <c r="AU5" s="90">
        <v>2</v>
      </c>
      <c r="AV5" s="80"/>
      <c r="AW5" s="90">
        <v>3</v>
      </c>
      <c r="AX5" s="80">
        <v>4</v>
      </c>
      <c r="AY5" s="80">
        <v>2</v>
      </c>
      <c r="AZ5" s="80">
        <v>0</v>
      </c>
      <c r="BA5" s="80">
        <v>0</v>
      </c>
      <c r="BB5" s="80">
        <v>0</v>
      </c>
      <c r="BC5" s="80">
        <v>0</v>
      </c>
      <c r="BD5" s="80">
        <v>0</v>
      </c>
      <c r="BE5" s="80">
        <v>0</v>
      </c>
      <c r="BF5" s="80">
        <v>0</v>
      </c>
      <c r="BG5" s="80" t="str">
        <f t="shared" si="4"/>
        <v>"CLERK-3" : {
"Capacities":[],
"MinorSpellsNb": 3,
"Locations": {
"1":4,
"2":2,
"3":0,
"4":0,
"5":0,
"6":0,
"7":0,
"8":0,
"9":0}
}</v>
      </c>
      <c r="BH5" s="131">
        <v>2</v>
      </c>
      <c r="BI5" s="34"/>
      <c r="BJ5" s="5">
        <v>2</v>
      </c>
      <c r="BK5" s="34">
        <v>4</v>
      </c>
      <c r="BL5" s="34">
        <v>2</v>
      </c>
      <c r="BM5" s="34">
        <v>0</v>
      </c>
      <c r="BN5" s="34">
        <v>0</v>
      </c>
      <c r="BO5" s="34">
        <v>0</v>
      </c>
      <c r="BP5" s="34">
        <v>0</v>
      </c>
      <c r="BQ5" s="34">
        <v>0</v>
      </c>
      <c r="BR5" s="34">
        <v>0</v>
      </c>
      <c r="BS5" s="34">
        <v>0</v>
      </c>
      <c r="BT5" s="132" t="str">
        <f t="shared" si="5"/>
        <v>"DRUID-3" : {
"Capacities":[],
"MinorSpellsNb": 2,
"Locations": {
"1":4,
"2":2,
"3":0,
"4":0,
"5":0,
"6":0,
"7":0,
"8":0,
"9":0}
}</v>
      </c>
      <c r="BU5" s="5">
        <v>2</v>
      </c>
      <c r="BV5" s="5">
        <v>3</v>
      </c>
      <c r="BW5" s="34" t="s">
        <v>3042</v>
      </c>
      <c r="BX5" s="5">
        <v>4</v>
      </c>
      <c r="BY5" s="5">
        <v>4</v>
      </c>
      <c r="BZ5" s="34">
        <v>4</v>
      </c>
      <c r="CA5" s="34">
        <v>2</v>
      </c>
      <c r="CB5" s="34">
        <v>0</v>
      </c>
      <c r="CC5" s="34">
        <v>0</v>
      </c>
      <c r="CD5" s="34">
        <v>0</v>
      </c>
      <c r="CE5" s="34">
        <v>0</v>
      </c>
      <c r="CF5" s="34">
        <v>0</v>
      </c>
      <c r="CG5" s="34">
        <v>0</v>
      </c>
      <c r="CH5" s="34">
        <v>0</v>
      </c>
      <c r="CI5" s="34" t="str">
        <f t="shared" si="6"/>
        <v>"SORCERER-3" : {
"Capacities":["Métamagie"],
"MinorSpellsNb": 4,
"SpellsNb": 4,
"Specials": 3,
"Locations": {
"1":4,
"2":2,
"3":0,
"4":0,
"5":0,
"6":0,
"7":0,
"8":0,
"9":0}
}</v>
      </c>
      <c r="CJ5" s="131">
        <v>2</v>
      </c>
      <c r="CK5" s="34" t="s">
        <v>3035</v>
      </c>
      <c r="CL5" s="90">
        <v>2</v>
      </c>
      <c r="CM5" s="90">
        <v>3</v>
      </c>
      <c r="CN5" s="90">
        <v>2</v>
      </c>
      <c r="CO5" s="90">
        <v>0</v>
      </c>
      <c r="CP5" s="90">
        <v>0</v>
      </c>
      <c r="CQ5" s="90">
        <v>0</v>
      </c>
      <c r="CR5" s="132" t="str">
        <f t="shared" si="7"/>
        <v>"WARRIOR-3" : {
"Capacities":["Archétype martial"],
"MinorSpellsNb": 2,
"SpellsNb": 3,
"Locations": {
"1":2,
"2":0,
"3":0,
"4":0}
}</v>
      </c>
      <c r="CS5" s="5">
        <v>2</v>
      </c>
      <c r="CT5" s="34"/>
      <c r="CU5" s="5">
        <v>3</v>
      </c>
      <c r="CV5" s="5">
        <v>4</v>
      </c>
      <c r="CW5" s="5">
        <v>2</v>
      </c>
      <c r="CX5" s="5">
        <v>0</v>
      </c>
      <c r="CY5" s="5">
        <v>0</v>
      </c>
      <c r="CZ5" s="5">
        <v>0</v>
      </c>
      <c r="DA5" s="5">
        <v>0</v>
      </c>
      <c r="DB5" s="5">
        <v>0</v>
      </c>
      <c r="DC5" s="5">
        <v>0</v>
      </c>
      <c r="DD5" s="5">
        <v>0</v>
      </c>
      <c r="DE5" s="5" t="str">
        <f t="shared" si="8"/>
        <v>"MAGICIAN-3" : {
"Capacities":[],
"MinorSpellsNb": 3,
"Locations": {
"1":4,
"2":2,
"3":0,
"4":0,
"5":0,
"6":0,
"7":0,
"8":0,
"9":0}
}</v>
      </c>
      <c r="DF5" s="139">
        <v>2</v>
      </c>
      <c r="DG5" s="115" t="s">
        <v>165</v>
      </c>
      <c r="DH5" s="115">
        <v>3</v>
      </c>
      <c r="DI5" s="169">
        <v>3</v>
      </c>
      <c r="DJ5" s="169" t="s">
        <v>4074</v>
      </c>
      <c r="DK5" s="144" t="s">
        <v>3947</v>
      </c>
      <c r="DL5" s="128" t="str">
        <f t="shared" si="9"/>
        <v>"MONK-3" : {
"Capacities":["Parade de projectiles", "Tradition monastique"],
"Specials": 3,
"BonusAttack": "1d4",
"ArmourlessSpeed": 3,
"ArmourlessCategories": ["1_LIGHT", "2_MID", "3_HEAVY"]
}</v>
      </c>
      <c r="DM5" s="90">
        <v>2</v>
      </c>
      <c r="DN5" s="80" t="s">
        <v>6105</v>
      </c>
      <c r="DO5" s="90">
        <v>2</v>
      </c>
      <c r="DP5" s="90">
        <v>2</v>
      </c>
      <c r="DQ5" s="90">
        <v>14</v>
      </c>
      <c r="DR5" s="90">
        <v>3</v>
      </c>
      <c r="DS5" s="128" t="str">
        <f t="shared" si="14"/>
        <v>"MYSTICAL-3" : {
"Capacities":["Capacité de l'Ordre mystique"],
"Specials": 14,
"BonusAttack": 2
}</v>
      </c>
      <c r="DT5" s="131">
        <v>2</v>
      </c>
      <c r="DU5" s="34" t="s">
        <v>3009</v>
      </c>
      <c r="DV5" s="34">
        <v>1</v>
      </c>
      <c r="DW5" s="34" t="s">
        <v>3265</v>
      </c>
      <c r="DX5" s="5">
        <v>3</v>
      </c>
      <c r="DY5" s="5">
        <v>0</v>
      </c>
      <c r="DZ5" s="5">
        <v>0</v>
      </c>
      <c r="EA5" s="5">
        <v>0</v>
      </c>
      <c r="EB5" s="5">
        <v>0</v>
      </c>
      <c r="EC5" s="135" t="str">
        <f t="shared" si="10"/>
        <v>"PALADIN-3" : {
"Capacities":["Santé divine", "Serment sacré"],
"SpellsNb": 1,
"SpellsNbBonus": "CHA",
"Locations": {
"1":3,
"2":0,
"3":0,
"4":0,
"5":0}
}</v>
      </c>
      <c r="ED5" s="5">
        <v>2</v>
      </c>
      <c r="EE5" s="34" t="s">
        <v>2998</v>
      </c>
      <c r="EF5" s="5">
        <v>3</v>
      </c>
      <c r="EG5" s="5">
        <v>3</v>
      </c>
      <c r="EH5" s="5">
        <v>0</v>
      </c>
      <c r="EI5" s="5">
        <v>0</v>
      </c>
      <c r="EJ5" s="5">
        <v>0</v>
      </c>
      <c r="EK5" s="5">
        <v>0</v>
      </c>
      <c r="EL5" s="5" t="str">
        <f t="shared" si="11"/>
        <v>"PROWLER-3" : {
"Capacities":["Archétype de rôdeur", "Sens primitifs"],
"SpellsNb":3,
"Locations": {
"1":3,
"2":0,
"3":0,
"4":0,
"5":0}
}</v>
      </c>
      <c r="EM5" s="131">
        <v>2</v>
      </c>
      <c r="EN5" s="5" t="s">
        <v>999</v>
      </c>
      <c r="EO5" s="34" t="s">
        <v>2986</v>
      </c>
      <c r="EP5" s="90">
        <v>3</v>
      </c>
      <c r="EQ5" s="90">
        <v>3</v>
      </c>
      <c r="ER5" s="90">
        <v>2</v>
      </c>
      <c r="ES5" s="90">
        <v>0</v>
      </c>
      <c r="ET5" s="90">
        <v>0</v>
      </c>
      <c r="EU5" s="90">
        <v>0</v>
      </c>
      <c r="EV5" s="132" t="str">
        <f t="shared" si="12"/>
        <v>"WILY-3" : {
"Capacities":["Archétype de roublard"],
"BonusAttack": "2d6",
"MinorSpellsNb": 3,
"SpellsNb": 3,
"Locations": {
"1":2,
"2":0,
"3":0,
"4":0
}
}</v>
      </c>
      <c r="EW5" s="5">
        <v>2</v>
      </c>
      <c r="EX5" s="34" t="s">
        <v>2976</v>
      </c>
      <c r="EY5" s="5">
        <v>2</v>
      </c>
      <c r="EZ5" s="5">
        <v>4</v>
      </c>
      <c r="FA5" s="5">
        <v>2</v>
      </c>
      <c r="FB5" s="5">
        <v>2</v>
      </c>
      <c r="FC5" s="5">
        <v>2</v>
      </c>
      <c r="FD5" s="116" t="str">
        <f t="shared" si="13"/>
        <v>"WIZARD-3" : {
"Capacities":["Faveur de pacte"],
"MinorSpellsNb": 2,
"SpellsNb": 4,
"Locations": {"2":2},
"Invocations": 2
}</v>
      </c>
    </row>
    <row r="6" spans="1:160" ht="15" customHeight="1">
      <c r="A6" s="124">
        <v>4</v>
      </c>
      <c r="B6" s="91">
        <v>2</v>
      </c>
      <c r="C6" s="78" t="s">
        <v>2963</v>
      </c>
      <c r="D6" s="91">
        <v>4</v>
      </c>
      <c r="E6" s="91">
        <v>2</v>
      </c>
      <c r="F6" s="91">
        <v>2</v>
      </c>
      <c r="G6" s="91">
        <v>3</v>
      </c>
      <c r="H6" s="91">
        <v>0</v>
      </c>
      <c r="I6" s="91">
        <v>0</v>
      </c>
      <c r="J6" s="91">
        <v>0</v>
      </c>
      <c r="K6" s="91">
        <v>0</v>
      </c>
      <c r="L6" s="132" t="str">
        <f t="shared" si="0"/>
        <v>"ARTIFICER-4" : {
"Capacities":["Amélioration de caractéristiques"],
"MinorSpellsNb": 2,
"Locations": {
"1":3,
"2":0,
"3":0,
"4":0,
"5":0},
"Impregnation": 4,
"ImpregnatedObjects": 2
}</v>
      </c>
      <c r="M6" s="91">
        <v>2</v>
      </c>
      <c r="N6" s="78" t="s">
        <v>2963</v>
      </c>
      <c r="O6" s="91">
        <v>4</v>
      </c>
      <c r="P6" s="78">
        <v>4</v>
      </c>
      <c r="Q6" s="78">
        <v>3</v>
      </c>
      <c r="R6" s="78">
        <v>0</v>
      </c>
      <c r="S6" s="78">
        <v>0</v>
      </c>
      <c r="T6" s="78">
        <v>0</v>
      </c>
      <c r="U6" s="78">
        <v>0</v>
      </c>
      <c r="V6" s="78">
        <v>0</v>
      </c>
      <c r="W6" s="78">
        <v>0</v>
      </c>
      <c r="X6" s="78">
        <v>0</v>
      </c>
      <c r="Y6" s="80" t="str">
        <f t="shared" si="1"/>
        <v>"CLERK-4" : {
"Capacities":["Amélioration de caractéristiques"],
"MinorSpellsNb": 4,
"Locations": {
"1":4,
"2":3,
"3":0,
"4":0,
"5":0,
"6":0,
"7":0,
"8":0,
"9":0}
}</v>
      </c>
      <c r="Z6" s="4">
        <v>2</v>
      </c>
      <c r="AA6" s="31" t="s">
        <v>2963</v>
      </c>
      <c r="AB6" s="4">
        <v>3</v>
      </c>
      <c r="AC6" s="4">
        <v>2</v>
      </c>
      <c r="AD6" s="170">
        <v>0</v>
      </c>
      <c r="AE6" s="170"/>
      <c r="AF6" s="142" t="str">
        <f t="shared" si="2"/>
        <v>"BARBARIAN-4": {
"Capacities": ["Amélioration de caractéristiques"],
"Specials": 3,
"Damages": 2,
"ArmourlessSpeed": 0,
"ArmourlessCategories": []
}</v>
      </c>
      <c r="AG6" s="133">
        <v>2</v>
      </c>
      <c r="AH6" s="31" t="s">
        <v>2963</v>
      </c>
      <c r="AI6" s="4">
        <v>3</v>
      </c>
      <c r="AJ6" s="4">
        <v>7</v>
      </c>
      <c r="AK6" s="31">
        <v>4</v>
      </c>
      <c r="AL6" s="31">
        <v>3</v>
      </c>
      <c r="AM6" s="31">
        <v>0</v>
      </c>
      <c r="AN6" s="31">
        <v>0</v>
      </c>
      <c r="AO6" s="31">
        <v>0</v>
      </c>
      <c r="AP6" s="31">
        <v>0</v>
      </c>
      <c r="AQ6" s="31">
        <v>0</v>
      </c>
      <c r="AR6" s="31">
        <v>0</v>
      </c>
      <c r="AS6" s="31">
        <v>0</v>
      </c>
      <c r="AT6" s="132" t="str">
        <f t="shared" si="3"/>
        <v>"BARD-4" : {
"Capacities":["Amélioration de caractéristiques"],
"MinorSpellsNb": 3,
"SpellsNb": 7,
"Locations": {
"1":4,
"2":3,
"3":0,
"4":0,
"5":0,
"6":0,
"7":0,
"8":0,
"9":0}
}</v>
      </c>
      <c r="AU6" s="91">
        <v>2</v>
      </c>
      <c r="AV6" s="78" t="s">
        <v>2963</v>
      </c>
      <c r="AW6" s="91">
        <v>4</v>
      </c>
      <c r="AX6" s="78">
        <v>4</v>
      </c>
      <c r="AY6" s="78">
        <v>3</v>
      </c>
      <c r="AZ6" s="78">
        <v>0</v>
      </c>
      <c r="BA6" s="78">
        <v>0</v>
      </c>
      <c r="BB6" s="78">
        <v>0</v>
      </c>
      <c r="BC6" s="78">
        <v>0</v>
      </c>
      <c r="BD6" s="78">
        <v>0</v>
      </c>
      <c r="BE6" s="78">
        <v>0</v>
      </c>
      <c r="BF6" s="78">
        <v>0</v>
      </c>
      <c r="BG6" s="80" t="str">
        <f t="shared" si="4"/>
        <v>"CLERK-4" : {
"Capacities":["Amélioration de caractéristiques"],
"MinorSpellsNb": 4,
"Locations": {
"1":4,
"2":3,
"3":0,
"4":0,
"5":0,
"6":0,
"7":0,
"8":0,
"9":0}
}</v>
      </c>
      <c r="BH6" s="133">
        <v>2</v>
      </c>
      <c r="BI6" s="31" t="s">
        <v>3047</v>
      </c>
      <c r="BJ6" s="4">
        <v>3</v>
      </c>
      <c r="BK6" s="31">
        <v>4</v>
      </c>
      <c r="BL6" s="31">
        <v>3</v>
      </c>
      <c r="BM6" s="31">
        <v>0</v>
      </c>
      <c r="BN6" s="31">
        <v>0</v>
      </c>
      <c r="BO6" s="31">
        <v>0</v>
      </c>
      <c r="BP6" s="31">
        <v>0</v>
      </c>
      <c r="BQ6" s="31">
        <v>0</v>
      </c>
      <c r="BR6" s="31">
        <v>0</v>
      </c>
      <c r="BS6" s="31">
        <v>0</v>
      </c>
      <c r="BT6" s="132" t="str">
        <f t="shared" si="5"/>
        <v>"DRUID-4" : {
"Capacities":["Forme sauvage améliorée, Amélioration de caractéristiques"],
"MinorSpellsNb": 3,
"Locations": {
"1":4,
"2":3,
"3":0,
"4":0,
"5":0,
"6":0,
"7":0,
"8":0,
"9":0}
}</v>
      </c>
      <c r="BU6" s="4">
        <v>2</v>
      </c>
      <c r="BV6" s="4">
        <v>4</v>
      </c>
      <c r="BW6" s="31" t="s">
        <v>2963</v>
      </c>
      <c r="BX6" s="4">
        <v>5</v>
      </c>
      <c r="BY6" s="4">
        <v>5</v>
      </c>
      <c r="BZ6" s="31">
        <v>4</v>
      </c>
      <c r="CA6" s="31">
        <v>3</v>
      </c>
      <c r="CB6" s="31">
        <v>0</v>
      </c>
      <c r="CC6" s="31">
        <v>0</v>
      </c>
      <c r="CD6" s="31">
        <v>0</v>
      </c>
      <c r="CE6" s="31">
        <v>0</v>
      </c>
      <c r="CF6" s="31">
        <v>0</v>
      </c>
      <c r="CG6" s="31">
        <v>0</v>
      </c>
      <c r="CH6" s="31">
        <v>0</v>
      </c>
      <c r="CI6" s="34" t="str">
        <f t="shared" si="6"/>
        <v>"SORCERER-4" : {
"Capacities":["Amélioration de caractéristiques"],
"MinorSpellsNb": 5,
"SpellsNb": 5,
"Specials": 4,
"Locations": {
"1":4,
"2":3,
"3":0,
"4":0,
"5":0,
"6":0,
"7":0,
"8":0,
"9":0}
}</v>
      </c>
      <c r="CJ6" s="133">
        <v>2</v>
      </c>
      <c r="CK6" s="31" t="s">
        <v>2963</v>
      </c>
      <c r="CL6" s="91">
        <v>2</v>
      </c>
      <c r="CM6" s="91">
        <v>4</v>
      </c>
      <c r="CN6" s="91">
        <v>3</v>
      </c>
      <c r="CO6" s="91">
        <v>0</v>
      </c>
      <c r="CP6" s="91">
        <v>0</v>
      </c>
      <c r="CQ6" s="91">
        <v>0</v>
      </c>
      <c r="CR6" s="132" t="str">
        <f t="shared" si="7"/>
        <v>"WARRIOR-4" : {
"Capacities":["Amélioration de caractéristiques"],
"MinorSpellsNb": 2,
"SpellsNb": 4,
"Locations": {
"1":3,
"2":0,
"3":0,
"4":0}
}</v>
      </c>
      <c r="CS6" s="4">
        <v>2</v>
      </c>
      <c r="CT6" s="31" t="s">
        <v>2963</v>
      </c>
      <c r="CU6" s="4">
        <v>4</v>
      </c>
      <c r="CV6" s="4">
        <v>4</v>
      </c>
      <c r="CW6" s="4">
        <v>3</v>
      </c>
      <c r="CX6" s="4">
        <v>0</v>
      </c>
      <c r="CY6" s="4">
        <v>0</v>
      </c>
      <c r="CZ6" s="4">
        <v>0</v>
      </c>
      <c r="DA6" s="4">
        <v>0</v>
      </c>
      <c r="DB6" s="4">
        <v>0</v>
      </c>
      <c r="DC6" s="4">
        <v>0</v>
      </c>
      <c r="DD6" s="4">
        <v>0</v>
      </c>
      <c r="DE6" s="5" t="str">
        <f t="shared" si="8"/>
        <v>"MAGICIAN-4" : {
"Capacities":["Amélioration de caractéristiques"],
"MinorSpellsNb": 4,
"Locations": {
"1":4,
"2":3,
"3":0,
"4":0,
"5":0,
"6":0,
"7":0,
"8":0,
"9":0}
}</v>
      </c>
      <c r="DF6" s="140">
        <v>2</v>
      </c>
      <c r="DG6" s="117" t="s">
        <v>165</v>
      </c>
      <c r="DH6" s="117">
        <v>4</v>
      </c>
      <c r="DI6" s="170">
        <v>3</v>
      </c>
      <c r="DJ6" s="170" t="s">
        <v>4074</v>
      </c>
      <c r="DK6" s="145" t="s">
        <v>3017</v>
      </c>
      <c r="DL6" s="128" t="str">
        <f t="shared" si="9"/>
        <v>"MONK-4" : {
"Capacities":["Amélioration de caractéristiques", "Chute ralentie"],
"Specials": 4,
"BonusAttack": "1d4",
"ArmourlessSpeed": 3,
"ArmourlessCategories": ["1_LIGHT", "2_MID", "3_HEAVY"]
}</v>
      </c>
      <c r="DM6" s="91">
        <v>2</v>
      </c>
      <c r="DN6" s="78" t="s">
        <v>6106</v>
      </c>
      <c r="DO6" s="91">
        <v>2</v>
      </c>
      <c r="DP6" s="91">
        <v>2</v>
      </c>
      <c r="DQ6" s="91">
        <v>17</v>
      </c>
      <c r="DR6" s="91">
        <v>3</v>
      </c>
      <c r="DS6" s="128" t="str">
        <f t="shared" si="14"/>
        <v>"MYSTICAL-4" : {
"Capacities":["Amélioration de caractéristiques", "Force de l'esprit"],
"Specials": 17,
"BonusAttack": 2
}</v>
      </c>
      <c r="DT6" s="133">
        <v>2</v>
      </c>
      <c r="DU6" s="31" t="s">
        <v>2963</v>
      </c>
      <c r="DV6" s="31">
        <v>2</v>
      </c>
      <c r="DW6" s="31" t="s">
        <v>3265</v>
      </c>
      <c r="DX6" s="4">
        <v>3</v>
      </c>
      <c r="DY6" s="4">
        <v>0</v>
      </c>
      <c r="DZ6" s="4">
        <v>0</v>
      </c>
      <c r="EA6" s="4">
        <v>0</v>
      </c>
      <c r="EB6" s="4">
        <v>0</v>
      </c>
      <c r="EC6" s="135" t="str">
        <f t="shared" si="10"/>
        <v>"PALADIN-4" : {
"Capacities":["Amélioration de caractéristiques"],
"SpellsNb": 2,
"SpellsNbBonus": "CHA",
"Locations": {
"1":3,
"2":0,
"3":0,
"4":0,
"5":0}
}</v>
      </c>
      <c r="ED6" s="4">
        <v>2</v>
      </c>
      <c r="EE6" s="31" t="s">
        <v>2963</v>
      </c>
      <c r="EF6" s="4">
        <v>3</v>
      </c>
      <c r="EG6" s="4">
        <v>3</v>
      </c>
      <c r="EH6" s="4">
        <v>0</v>
      </c>
      <c r="EI6" s="4">
        <v>0</v>
      </c>
      <c r="EJ6" s="4">
        <v>0</v>
      </c>
      <c r="EK6" s="4">
        <v>0</v>
      </c>
      <c r="EL6" s="5" t="str">
        <f t="shared" si="11"/>
        <v>"PROWLER-4" : {
"Capacities":["Amélioration de caractéristiques"],
"SpellsNb":3,
"Locations": {
"1":3,
"2":0,
"3":0,
"4":0,
"5":0}
}</v>
      </c>
      <c r="EM6" s="133">
        <v>2</v>
      </c>
      <c r="EN6" s="4" t="s">
        <v>999</v>
      </c>
      <c r="EO6" s="31" t="s">
        <v>2963</v>
      </c>
      <c r="EP6" s="91">
        <v>3</v>
      </c>
      <c r="EQ6" s="91">
        <v>4</v>
      </c>
      <c r="ER6" s="91">
        <v>3</v>
      </c>
      <c r="ES6" s="91">
        <v>0</v>
      </c>
      <c r="ET6" s="91">
        <v>0</v>
      </c>
      <c r="EU6" s="91">
        <v>0</v>
      </c>
      <c r="EV6" s="132" t="str">
        <f t="shared" si="12"/>
        <v>"WILY-4" : {
"Capacities":["Amélioration de caractéristiques"],
"BonusAttack": "2d6",
"MinorSpellsNb": 3,
"SpellsNb": 4,
"Locations": {
"1":3,
"2":0,
"3":0,
"4":0
}
}</v>
      </c>
      <c r="EW6" s="4">
        <v>2</v>
      </c>
      <c r="EX6" s="31" t="s">
        <v>2963</v>
      </c>
      <c r="EY6" s="4">
        <v>3</v>
      </c>
      <c r="EZ6" s="4">
        <v>5</v>
      </c>
      <c r="FA6" s="4">
        <v>2</v>
      </c>
      <c r="FB6" s="4">
        <v>2</v>
      </c>
      <c r="FC6" s="4">
        <v>2</v>
      </c>
      <c r="FD6" s="116" t="str">
        <f t="shared" si="13"/>
        <v>"WIZARD-4" : {
"Capacities":["Amélioration de caractéristiques"],
"MinorSpellsNb": 3,
"SpellsNb": 5,
"Locations": {"2":2},
"Invocations": 2
}</v>
      </c>
    </row>
    <row r="7" spans="1:160" ht="15" customHeight="1">
      <c r="A7" s="123">
        <v>5</v>
      </c>
      <c r="B7" s="90">
        <v>3</v>
      </c>
      <c r="C7" s="80" t="s">
        <v>5958</v>
      </c>
      <c r="D7" s="90">
        <v>4</v>
      </c>
      <c r="E7" s="90">
        <v>2</v>
      </c>
      <c r="F7" s="90">
        <v>2</v>
      </c>
      <c r="G7" s="90">
        <v>4</v>
      </c>
      <c r="H7" s="90">
        <v>2</v>
      </c>
      <c r="I7" s="90">
        <v>0</v>
      </c>
      <c r="J7" s="90">
        <v>0</v>
      </c>
      <c r="K7" s="90">
        <v>0</v>
      </c>
      <c r="L7" s="132" t="str">
        <f t="shared" si="0"/>
        <v>"ARTIFICER-5" : {
"Capacities":["Capacité de la spécialité d'artificier"],
"MinorSpellsNb": 2,
"Locations": {
"1":4,
"2":2,
"3":0,
"4":0,
"5":0},
"Impregnation": 4,
"ImpregnatedObjects": 2
}</v>
      </c>
      <c r="M7" s="90">
        <v>3</v>
      </c>
      <c r="N7" s="80" t="s">
        <v>3052</v>
      </c>
      <c r="O7" s="90">
        <v>4</v>
      </c>
      <c r="P7" s="80">
        <v>4</v>
      </c>
      <c r="Q7" s="80">
        <v>3</v>
      </c>
      <c r="R7" s="80">
        <v>2</v>
      </c>
      <c r="S7" s="80">
        <v>0</v>
      </c>
      <c r="T7" s="80">
        <v>0</v>
      </c>
      <c r="U7" s="80">
        <v>0</v>
      </c>
      <c r="V7" s="80">
        <v>0</v>
      </c>
      <c r="W7" s="80">
        <v>0</v>
      </c>
      <c r="X7" s="80">
        <v>0</v>
      </c>
      <c r="Y7" s="80" t="str">
        <f t="shared" si="1"/>
        <v>"CLERK-5" : {
"Capacities":["Destruction des morts-vivants (FP 1/2)"],
"MinorSpellsNb": 4,
"Locations": {
"1":4,
"2":3,
"3":2,
"4":0,
"5":0,
"6":0,
"7":0,
"8":0,
"9":0}
}</v>
      </c>
      <c r="Z7" s="5">
        <v>3</v>
      </c>
      <c r="AA7" s="34" t="s">
        <v>2964</v>
      </c>
      <c r="AB7" s="5">
        <v>3</v>
      </c>
      <c r="AC7" s="5">
        <v>2</v>
      </c>
      <c r="AD7" s="169">
        <v>3</v>
      </c>
      <c r="AE7" s="169" t="s">
        <v>4072</v>
      </c>
      <c r="AF7" s="142" t="str">
        <f t="shared" si="2"/>
        <v>"BARBARIAN-5": {
"Capacities": ["Attaque supplémentaire", "Déplacement rapide"],
"Specials": 3,
"Damages": 2,
"ArmourlessSpeed": 3,
"ArmourlessCategories": ["3_HEAVY"]
}</v>
      </c>
      <c r="AG7" s="131">
        <v>3</v>
      </c>
      <c r="AH7" s="34" t="s">
        <v>3888</v>
      </c>
      <c r="AI7" s="5">
        <v>3</v>
      </c>
      <c r="AJ7" s="5">
        <v>8</v>
      </c>
      <c r="AK7" s="34">
        <v>4</v>
      </c>
      <c r="AL7" s="34">
        <v>3</v>
      </c>
      <c r="AM7" s="34">
        <v>2</v>
      </c>
      <c r="AN7" s="34">
        <v>0</v>
      </c>
      <c r="AO7" s="34">
        <v>0</v>
      </c>
      <c r="AP7" s="34">
        <v>0</v>
      </c>
      <c r="AQ7" s="34">
        <v>0</v>
      </c>
      <c r="AR7" s="34">
        <v>0</v>
      </c>
      <c r="AS7" s="34">
        <v>0</v>
      </c>
      <c r="AT7" s="132" t="str">
        <f t="shared" si="3"/>
        <v>"BARD-5" : {
"Capacities":["Inspiration bardique", "Source d'inspiration"],
"MinorSpellsNb": 3,
"SpellsNb": 8,
"Locations": {
"1":4,
"2":3,
"3":2,
"4":0,
"5":0,
"6":0,
"7":0,
"8":0,
"9":0}
}</v>
      </c>
      <c r="AU7" s="90">
        <v>3</v>
      </c>
      <c r="AV7" s="80" t="s">
        <v>3052</v>
      </c>
      <c r="AW7" s="90">
        <v>4</v>
      </c>
      <c r="AX7" s="80">
        <v>4</v>
      </c>
      <c r="AY7" s="80">
        <v>3</v>
      </c>
      <c r="AZ7" s="80">
        <v>2</v>
      </c>
      <c r="BA7" s="80">
        <v>0</v>
      </c>
      <c r="BB7" s="80">
        <v>0</v>
      </c>
      <c r="BC7" s="80">
        <v>0</v>
      </c>
      <c r="BD7" s="80">
        <v>0</v>
      </c>
      <c r="BE7" s="80">
        <v>0</v>
      </c>
      <c r="BF7" s="80">
        <v>0</v>
      </c>
      <c r="BG7" s="80" t="str">
        <f t="shared" si="4"/>
        <v>"CLERK-5" : {
"Capacities":["Destruction des morts-vivants (FP 1/2)"],
"MinorSpellsNb": 4,
"Locations": {
"1":4,
"2":3,
"3":2,
"4":0,
"5":0,
"6":0,
"7":0,
"8":0,
"9":0}
}</v>
      </c>
      <c r="BH7" s="131">
        <v>3</v>
      </c>
      <c r="BI7" s="34"/>
      <c r="BJ7" s="5">
        <v>3</v>
      </c>
      <c r="BK7" s="34">
        <v>4</v>
      </c>
      <c r="BL7" s="34">
        <v>3</v>
      </c>
      <c r="BM7" s="34">
        <v>2</v>
      </c>
      <c r="BN7" s="34">
        <v>0</v>
      </c>
      <c r="BO7" s="34">
        <v>0</v>
      </c>
      <c r="BP7" s="34">
        <v>0</v>
      </c>
      <c r="BQ7" s="34">
        <v>0</v>
      </c>
      <c r="BR7" s="34">
        <v>0</v>
      </c>
      <c r="BS7" s="34">
        <v>0</v>
      </c>
      <c r="BT7" s="132" t="str">
        <f t="shared" si="5"/>
        <v>"DRUID-5" : {
"Capacities":[],
"MinorSpellsNb": 3,
"Locations": {
"1":4,
"2":3,
"3":2,
"4":0,
"5":0,
"6":0,
"7":0,
"8":0,
"9":0}
}</v>
      </c>
      <c r="BU7" s="5">
        <v>3</v>
      </c>
      <c r="BV7" s="5">
        <v>5</v>
      </c>
      <c r="BW7" s="34"/>
      <c r="BX7" s="5">
        <v>5</v>
      </c>
      <c r="BY7" s="5">
        <v>6</v>
      </c>
      <c r="BZ7" s="34">
        <v>4</v>
      </c>
      <c r="CA7" s="34">
        <v>3</v>
      </c>
      <c r="CB7" s="34">
        <v>2</v>
      </c>
      <c r="CC7" s="34">
        <v>0</v>
      </c>
      <c r="CD7" s="34">
        <v>0</v>
      </c>
      <c r="CE7" s="34">
        <v>0</v>
      </c>
      <c r="CF7" s="34">
        <v>0</v>
      </c>
      <c r="CG7" s="34">
        <v>0</v>
      </c>
      <c r="CH7" s="34">
        <v>0</v>
      </c>
      <c r="CI7" s="34" t="str">
        <f t="shared" si="6"/>
        <v>"SORCERER-5" : {
"Capacities":[],
"MinorSpellsNb": 5,
"SpellsNb": 6,
"Specials": 5,
"Locations": {
"1":4,
"2":3,
"3":2,
"4":0,
"5":0,
"6":0,
"7":0,
"8":0,
"9":0}
}</v>
      </c>
      <c r="CJ7" s="131">
        <v>3</v>
      </c>
      <c r="CK7" s="34" t="s">
        <v>3036</v>
      </c>
      <c r="CL7" s="90">
        <v>2</v>
      </c>
      <c r="CM7" s="90">
        <v>4</v>
      </c>
      <c r="CN7" s="90">
        <v>3</v>
      </c>
      <c r="CO7" s="90">
        <v>0</v>
      </c>
      <c r="CP7" s="90">
        <v>0</v>
      </c>
      <c r="CQ7" s="90">
        <v>0</v>
      </c>
      <c r="CR7" s="132" t="str">
        <f t="shared" si="7"/>
        <v>"WARRIOR-5" : {
"Capacities":["Attaque supplémentaire (1)"],
"MinorSpellsNb": 2,
"SpellsNb": 4,
"Locations": {
"1":3,
"2":0,
"3":0,
"4":0}
}</v>
      </c>
      <c r="CS7" s="5">
        <v>3</v>
      </c>
      <c r="CT7" s="34"/>
      <c r="CU7" s="5">
        <v>4</v>
      </c>
      <c r="CV7" s="5">
        <v>4</v>
      </c>
      <c r="CW7" s="5">
        <v>3</v>
      </c>
      <c r="CX7" s="5">
        <v>2</v>
      </c>
      <c r="CY7" s="5">
        <v>0</v>
      </c>
      <c r="CZ7" s="5">
        <v>0</v>
      </c>
      <c r="DA7" s="5">
        <v>0</v>
      </c>
      <c r="DB7" s="5">
        <v>0</v>
      </c>
      <c r="DC7" s="5">
        <v>0</v>
      </c>
      <c r="DD7" s="5">
        <v>0</v>
      </c>
      <c r="DE7" s="5" t="str">
        <f t="shared" si="8"/>
        <v>"MAGICIAN-5" : {
"Capacities":[],
"MinorSpellsNb": 4,
"Locations": {
"1":4,
"2":3,
"3":2,
"4":0,
"5":0,
"6":0,
"7":0,
"8":0,
"9":0}
}</v>
      </c>
      <c r="DF7" s="139">
        <v>3</v>
      </c>
      <c r="DG7" s="115" t="s">
        <v>166</v>
      </c>
      <c r="DH7" s="115">
        <v>5</v>
      </c>
      <c r="DI7" s="169">
        <v>3</v>
      </c>
      <c r="DJ7" s="169" t="s">
        <v>4074</v>
      </c>
      <c r="DK7" s="144" t="s">
        <v>3018</v>
      </c>
      <c r="DL7" s="128" t="str">
        <f t="shared" si="9"/>
        <v>"MONK-5" : {
"Capacities":["Attaque supplémentaire", "Frappe étourdissante"],
"Specials": 5,
"BonusAttack": "1d6",
"ArmourlessSpeed": 3,
"ArmourlessCategories": ["1_LIGHT", "2_MID", "3_HEAVY"]
}</v>
      </c>
      <c r="DM7" s="90">
        <v>3</v>
      </c>
      <c r="DN7" s="80"/>
      <c r="DO7" s="90">
        <v>2</v>
      </c>
      <c r="DP7" s="90">
        <v>3</v>
      </c>
      <c r="DQ7" s="90">
        <v>27</v>
      </c>
      <c r="DR7" s="90">
        <v>5</v>
      </c>
      <c r="DS7" s="128" t="str">
        <f t="shared" si="14"/>
        <v>"MYSTICAL-5" : {
"Capacities":[],
"Specials": 27,
"BonusAttack": 2
}</v>
      </c>
      <c r="DT7" s="131">
        <v>3</v>
      </c>
      <c r="DU7" s="34" t="s">
        <v>2999</v>
      </c>
      <c r="DV7" s="34">
        <v>2</v>
      </c>
      <c r="DW7" s="34" t="s">
        <v>3265</v>
      </c>
      <c r="DX7" s="5">
        <v>4</v>
      </c>
      <c r="DY7" s="5">
        <v>2</v>
      </c>
      <c r="DZ7" s="5">
        <v>0</v>
      </c>
      <c r="EA7" s="5">
        <v>0</v>
      </c>
      <c r="EB7" s="5">
        <v>0</v>
      </c>
      <c r="EC7" s="135" t="str">
        <f t="shared" si="10"/>
        <v>"PALADIN-5" : {
"Capacities":["Attaque supplémentaire"],
"SpellsNb": 2,
"SpellsNbBonus": "CHA",
"Locations": {
"1":4,
"2":2,
"3":0,
"4":0,
"5":0}
}</v>
      </c>
      <c r="ED7" s="5">
        <v>3</v>
      </c>
      <c r="EE7" s="34" t="s">
        <v>2999</v>
      </c>
      <c r="EF7" s="5">
        <v>4</v>
      </c>
      <c r="EG7" s="5">
        <v>4</v>
      </c>
      <c r="EH7" s="5">
        <v>2</v>
      </c>
      <c r="EI7" s="5">
        <v>0</v>
      </c>
      <c r="EJ7" s="5">
        <v>0</v>
      </c>
      <c r="EK7" s="5">
        <v>0</v>
      </c>
      <c r="EL7" s="5" t="str">
        <f t="shared" si="11"/>
        <v>"PROWLER-5" : {
"Capacities":["Attaque supplémentaire"],
"SpellsNb":4,
"Locations": {
"1":4,
"2":2,
"3":0,
"4":0,
"5":0}
}</v>
      </c>
      <c r="EM7" s="131">
        <v>3</v>
      </c>
      <c r="EN7" s="5" t="s">
        <v>1001</v>
      </c>
      <c r="EO7" s="34" t="s">
        <v>2987</v>
      </c>
      <c r="EP7" s="90">
        <v>3</v>
      </c>
      <c r="EQ7" s="90">
        <v>4</v>
      </c>
      <c r="ER7" s="90">
        <v>3</v>
      </c>
      <c r="ES7" s="90">
        <v>0</v>
      </c>
      <c r="ET7" s="90">
        <v>0</v>
      </c>
      <c r="EU7" s="90">
        <v>0</v>
      </c>
      <c r="EV7" s="132" t="str">
        <f t="shared" si="12"/>
        <v>"WILY-5" : {
"Capacities":["Esquive instinctive"],
"BonusAttack": "3d6",
"MinorSpellsNb": 3,
"SpellsNb": 4,
"Locations": {
"1":3,
"2":0,
"3":0,
"4":0
}
}</v>
      </c>
      <c r="EW7" s="5">
        <v>3</v>
      </c>
      <c r="EX7" s="34" t="s">
        <v>2977</v>
      </c>
      <c r="EY7" s="5">
        <v>3</v>
      </c>
      <c r="EZ7" s="5">
        <v>6</v>
      </c>
      <c r="FA7" s="5">
        <v>2</v>
      </c>
      <c r="FB7" s="5">
        <v>3</v>
      </c>
      <c r="FC7" s="5">
        <v>3</v>
      </c>
      <c r="FD7" s="116" t="str">
        <f t="shared" si="13"/>
        <v>"WIZARD-5" : {
"Capacities":["-"],
"MinorSpellsNb": 3,
"SpellsNb": 6,
"Locations": {"3":2},
"Invocations": 3
}</v>
      </c>
    </row>
    <row r="8" spans="1:160" ht="15" customHeight="1">
      <c r="A8" s="124">
        <v>6</v>
      </c>
      <c r="B8" s="91">
        <v>3</v>
      </c>
      <c r="C8" s="78" t="s">
        <v>5959</v>
      </c>
      <c r="D8" s="91">
        <v>6</v>
      </c>
      <c r="E8" s="91">
        <v>3</v>
      </c>
      <c r="F8" s="91">
        <v>2</v>
      </c>
      <c r="G8" s="91">
        <v>4</v>
      </c>
      <c r="H8" s="91">
        <v>2</v>
      </c>
      <c r="I8" s="91">
        <v>0</v>
      </c>
      <c r="J8" s="91">
        <v>0</v>
      </c>
      <c r="K8" s="91">
        <v>0</v>
      </c>
      <c r="L8" s="132" t="str">
        <f t="shared" si="0"/>
        <v>"ARTIFICER-6" : {
"Capacities":["Expertise d'outil"],
"MinorSpellsNb": 2,
"Locations": {
"1":4,
"2":2,
"3":0,
"4":0,
"5":0},
"Impregnation": 6,
"ImpregnatedObjects": 3
}</v>
      </c>
      <c r="M8" s="91">
        <v>3</v>
      </c>
      <c r="N8" s="78" t="s">
        <v>3053</v>
      </c>
      <c r="O8" s="91">
        <v>4</v>
      </c>
      <c r="P8" s="78">
        <v>4</v>
      </c>
      <c r="Q8" s="78">
        <v>3</v>
      </c>
      <c r="R8" s="78">
        <v>3</v>
      </c>
      <c r="S8" s="78">
        <v>0</v>
      </c>
      <c r="T8" s="78">
        <v>0</v>
      </c>
      <c r="U8" s="78">
        <v>0</v>
      </c>
      <c r="V8" s="78">
        <v>0</v>
      </c>
      <c r="W8" s="78">
        <v>0</v>
      </c>
      <c r="X8" s="78">
        <v>0</v>
      </c>
      <c r="Y8" s="80" t="str">
        <f t="shared" si="1"/>
        <v>"CLERK-6" : {
"Capacities":["Canalisation d’énergie divine (2)", "Capacité de domaine divin"],
"MinorSpellsNb": 4,
"Locations": {
"1":4,
"2":3,
"3":3,
"4":0,
"5":0,
"6":0,
"7":0,
"8":0,
"9":0}
}</v>
      </c>
      <c r="Z8" s="4">
        <v>3</v>
      </c>
      <c r="AA8" s="31" t="s">
        <v>2965</v>
      </c>
      <c r="AB8" s="4">
        <v>4</v>
      </c>
      <c r="AC8" s="4">
        <v>2</v>
      </c>
      <c r="AD8" s="170">
        <v>3</v>
      </c>
      <c r="AE8" s="170" t="s">
        <v>4072</v>
      </c>
      <c r="AF8" s="142" t="str">
        <f t="shared" si="2"/>
        <v>"BARBARIAN-6": {
"Capacities": ["Capacité de voie"],
"Specials": 4,
"Damages": 2,
"ArmourlessSpeed": 3,
"ArmourlessCategories": ["3_HEAVY"]
}</v>
      </c>
      <c r="AG8" s="133">
        <v>3</v>
      </c>
      <c r="AH8" s="31" t="s">
        <v>3064</v>
      </c>
      <c r="AI8" s="4">
        <v>3</v>
      </c>
      <c r="AJ8" s="4">
        <v>9</v>
      </c>
      <c r="AK8" s="31">
        <v>4</v>
      </c>
      <c r="AL8" s="31">
        <v>3</v>
      </c>
      <c r="AM8" s="31">
        <v>3</v>
      </c>
      <c r="AN8" s="31">
        <v>0</v>
      </c>
      <c r="AO8" s="31">
        <v>0</v>
      </c>
      <c r="AP8" s="31">
        <v>0</v>
      </c>
      <c r="AQ8" s="31">
        <v>0</v>
      </c>
      <c r="AR8" s="31">
        <v>0</v>
      </c>
      <c r="AS8" s="31">
        <v>0</v>
      </c>
      <c r="AT8" s="132" t="str">
        <f t="shared" si="3"/>
        <v>"BARD-6" : {
"Capacities":["Contre charme", "Capacité de collège bardique"],
"MinorSpellsNb": 3,
"SpellsNb": 9,
"Locations": {
"1":4,
"2":3,
"3":3,
"4":0,
"5":0,
"6":0,
"7":0,
"8":0,
"9":0}
}</v>
      </c>
      <c r="AU8" s="91">
        <v>3</v>
      </c>
      <c r="AV8" s="78" t="s">
        <v>3053</v>
      </c>
      <c r="AW8" s="91">
        <v>4</v>
      </c>
      <c r="AX8" s="78">
        <v>4</v>
      </c>
      <c r="AY8" s="78">
        <v>3</v>
      </c>
      <c r="AZ8" s="78">
        <v>3</v>
      </c>
      <c r="BA8" s="78">
        <v>0</v>
      </c>
      <c r="BB8" s="78">
        <v>0</v>
      </c>
      <c r="BC8" s="78">
        <v>0</v>
      </c>
      <c r="BD8" s="78">
        <v>0</v>
      </c>
      <c r="BE8" s="78">
        <v>0</v>
      </c>
      <c r="BF8" s="78">
        <v>0</v>
      </c>
      <c r="BG8" s="80" t="str">
        <f t="shared" si="4"/>
        <v>"CLERK-6" : {
"Capacities":["Canalisation d’énergie divine (2)", "Capacité de domaine divin"],
"MinorSpellsNb": 4,
"Locations": {
"1":4,
"2":3,
"3":3,
"4":0,
"5":0,
"6":0,
"7":0,
"8":0,
"9":0}
}</v>
      </c>
      <c r="BH8" s="133">
        <v>3</v>
      </c>
      <c r="BI8" s="31" t="s">
        <v>3048</v>
      </c>
      <c r="BJ8" s="4">
        <v>3</v>
      </c>
      <c r="BK8" s="31">
        <v>4</v>
      </c>
      <c r="BL8" s="31">
        <v>3</v>
      </c>
      <c r="BM8" s="31">
        <v>3</v>
      </c>
      <c r="BN8" s="31">
        <v>0</v>
      </c>
      <c r="BO8" s="31">
        <v>0</v>
      </c>
      <c r="BP8" s="31">
        <v>0</v>
      </c>
      <c r="BQ8" s="31">
        <v>0</v>
      </c>
      <c r="BR8" s="31">
        <v>0</v>
      </c>
      <c r="BS8" s="31">
        <v>0</v>
      </c>
      <c r="BT8" s="132" t="str">
        <f t="shared" si="5"/>
        <v>"DRUID-6" : {
"Capacities":["Capacité de cercle druidique"],
"MinorSpellsNb": 3,
"Locations": {
"1":4,
"2":3,
"3":3,
"4":0,
"5":0,
"6":0,
"7":0,
"8":0,
"9":0}
}</v>
      </c>
      <c r="BU8" s="4">
        <v>3</v>
      </c>
      <c r="BV8" s="4">
        <v>6</v>
      </c>
      <c r="BW8" s="31" t="s">
        <v>3043</v>
      </c>
      <c r="BX8" s="4">
        <v>5</v>
      </c>
      <c r="BY8" s="4">
        <v>7</v>
      </c>
      <c r="BZ8" s="31">
        <v>4</v>
      </c>
      <c r="CA8" s="31">
        <v>3</v>
      </c>
      <c r="CB8" s="31">
        <v>3</v>
      </c>
      <c r="CC8" s="31">
        <v>0</v>
      </c>
      <c r="CD8" s="31">
        <v>0</v>
      </c>
      <c r="CE8" s="31">
        <v>0</v>
      </c>
      <c r="CF8" s="31">
        <v>0</v>
      </c>
      <c r="CG8" s="31">
        <v>0</v>
      </c>
      <c r="CH8" s="31">
        <v>0</v>
      </c>
      <c r="CI8" s="34" t="str">
        <f t="shared" si="6"/>
        <v>"SORCERER-6" : {
"Capacities":["Capacité de l'origine magique"],
"MinorSpellsNb": 5,
"SpellsNb": 7,
"Specials": 6,
"Locations": {
"1":4,
"2":3,
"3":3,
"4":0,
"5":0,
"6":0,
"7":0,
"8":0,
"9":0}
}</v>
      </c>
      <c r="CJ8" s="133">
        <v>3</v>
      </c>
      <c r="CK8" s="31" t="s">
        <v>2963</v>
      </c>
      <c r="CL8" s="91">
        <v>2</v>
      </c>
      <c r="CM8" s="91">
        <v>4</v>
      </c>
      <c r="CN8" s="91">
        <v>3</v>
      </c>
      <c r="CO8" s="91">
        <v>0</v>
      </c>
      <c r="CP8" s="91">
        <v>0</v>
      </c>
      <c r="CQ8" s="91">
        <v>0</v>
      </c>
      <c r="CR8" s="132" t="str">
        <f t="shared" si="7"/>
        <v>"WARRIOR-6" : {
"Capacities":["Amélioration de caractéristiques"],
"MinorSpellsNb": 2,
"SpellsNb": 4,
"Locations": {
"1":3,
"2":0,
"3":0,
"4":0}
}</v>
      </c>
      <c r="CS8" s="4">
        <v>3</v>
      </c>
      <c r="CT8" s="31" t="s">
        <v>3031</v>
      </c>
      <c r="CU8" s="4">
        <v>4</v>
      </c>
      <c r="CV8" s="4">
        <v>4</v>
      </c>
      <c r="CW8" s="4">
        <v>3</v>
      </c>
      <c r="CX8" s="4">
        <v>3</v>
      </c>
      <c r="CY8" s="4">
        <v>0</v>
      </c>
      <c r="CZ8" s="4">
        <v>0</v>
      </c>
      <c r="DA8" s="4">
        <v>0</v>
      </c>
      <c r="DB8" s="4">
        <v>0</v>
      </c>
      <c r="DC8" s="4">
        <v>0</v>
      </c>
      <c r="DD8" s="4">
        <v>0</v>
      </c>
      <c r="DE8" s="5" t="str">
        <f t="shared" si="8"/>
        <v>"MAGICIAN-6" : {
"Capacities":["Capacité de la tradition arcanique"],
"MinorSpellsNb": 4,
"Locations": {
"1":4,
"2":3,
"3":3,
"4":0,
"5":0,
"6":0,
"7":0,
"8":0,
"9":0}
}</v>
      </c>
      <c r="DF8" s="140">
        <v>3</v>
      </c>
      <c r="DG8" s="117" t="s">
        <v>166</v>
      </c>
      <c r="DH8" s="117">
        <v>6</v>
      </c>
      <c r="DI8" s="170">
        <v>4.5</v>
      </c>
      <c r="DJ8" s="170" t="s">
        <v>4074</v>
      </c>
      <c r="DK8" s="145" t="s">
        <v>3019</v>
      </c>
      <c r="DL8" s="128" t="str">
        <f t="shared" si="9"/>
        <v>"MONK-6" : {
"Capacities":["Frappes de ki", "Capacité de la tradition monastique"],
"Specials": 6,
"BonusAttack": "1d6",
"ArmourlessSpeed": 4.5,
"ArmourlessCategories": ["1_LIGHT", "2_MID", "3_HEAVY"]
}</v>
      </c>
      <c r="DM8" s="91">
        <v>3</v>
      </c>
      <c r="DN8" s="78" t="s">
        <v>6105</v>
      </c>
      <c r="DO8" s="91">
        <v>2</v>
      </c>
      <c r="DP8" s="91">
        <v>3</v>
      </c>
      <c r="DQ8" s="91">
        <v>32</v>
      </c>
      <c r="DR8" s="91">
        <v>5</v>
      </c>
      <c r="DS8" s="128" t="str">
        <f t="shared" si="14"/>
        <v>"MYSTICAL-6" : {
"Capacities":["Capacité de l'Ordre mystique"],
"Specials": 32,
"BonusAttack": 2
}</v>
      </c>
      <c r="DT8" s="133">
        <v>3</v>
      </c>
      <c r="DU8" s="31" t="s">
        <v>3010</v>
      </c>
      <c r="DV8" s="31">
        <v>3</v>
      </c>
      <c r="DW8" s="31" t="s">
        <v>3265</v>
      </c>
      <c r="DX8" s="4">
        <v>4</v>
      </c>
      <c r="DY8" s="4">
        <v>2</v>
      </c>
      <c r="DZ8" s="4">
        <v>0</v>
      </c>
      <c r="EA8" s="4">
        <v>0</v>
      </c>
      <c r="EB8" s="4">
        <v>0</v>
      </c>
      <c r="EC8" s="135" t="str">
        <f t="shared" si="10"/>
        <v>"PALADIN-6" : {
"Capacities":["Aura de protection"],
"SpellsNb": 3,
"SpellsNbBonus": "CHA",
"Locations": {
"1":4,
"2":2,
"3":0,
"4":0,
"5":0}
}</v>
      </c>
      <c r="ED8" s="4">
        <v>3</v>
      </c>
      <c r="EE8" s="31" t="s">
        <v>3000</v>
      </c>
      <c r="EF8" s="4">
        <v>4</v>
      </c>
      <c r="EG8" s="4">
        <v>4</v>
      </c>
      <c r="EH8" s="4">
        <v>2</v>
      </c>
      <c r="EI8" s="4">
        <v>0</v>
      </c>
      <c r="EJ8" s="4">
        <v>0</v>
      </c>
      <c r="EK8" s="4">
        <v>0</v>
      </c>
      <c r="EL8" s="5" t="str">
        <f t="shared" si="11"/>
        <v>"PROWLER-6" : {
"Capacities":["Amélioration de l'Ennemi juré et de l'Explorateur-né"],
"SpellsNb":4,
"Locations": {
"1":4,
"2":2,
"3":0,
"4":0,
"5":0}
}</v>
      </c>
      <c r="EM8" s="133">
        <v>3</v>
      </c>
      <c r="EN8" s="4" t="s">
        <v>1001</v>
      </c>
      <c r="EO8" s="31" t="s">
        <v>2988</v>
      </c>
      <c r="EP8" s="91">
        <v>3</v>
      </c>
      <c r="EQ8" s="91">
        <v>4</v>
      </c>
      <c r="ER8" s="91">
        <v>3</v>
      </c>
      <c r="ES8" s="91">
        <v>0</v>
      </c>
      <c r="ET8" s="91">
        <v>0</v>
      </c>
      <c r="EU8" s="91">
        <v>0</v>
      </c>
      <c r="EV8" s="132" t="str">
        <f t="shared" si="12"/>
        <v>"WILY-6" : {
"Capacities":["Expertise"],
"BonusAttack": "3d6",
"MinorSpellsNb": 3,
"SpellsNb": 4,
"Locations": {
"1":3,
"2":0,
"3":0,
"4":0
}
}</v>
      </c>
      <c r="EW8" s="4">
        <v>3</v>
      </c>
      <c r="EX8" s="31" t="s">
        <v>2978</v>
      </c>
      <c r="EY8" s="4">
        <v>3</v>
      </c>
      <c r="EZ8" s="4">
        <v>7</v>
      </c>
      <c r="FA8" s="4">
        <v>2</v>
      </c>
      <c r="FB8" s="4">
        <v>3</v>
      </c>
      <c r="FC8" s="4">
        <v>3</v>
      </c>
      <c r="FD8" s="116" t="str">
        <f t="shared" si="13"/>
        <v>"WIZARD-6" : {
"Capacities":["Capacité de patron d'Outremonde"],
"MinorSpellsNb": 3,
"SpellsNb": 7,
"Locations": {"3":2},
"Invocations": 3
}</v>
      </c>
    </row>
    <row r="9" spans="1:160" ht="15" customHeight="1">
      <c r="A9" s="123">
        <v>7</v>
      </c>
      <c r="B9" s="90">
        <v>3</v>
      </c>
      <c r="C9" s="80" t="s">
        <v>5960</v>
      </c>
      <c r="D9" s="90">
        <v>6</v>
      </c>
      <c r="E9" s="90">
        <v>3</v>
      </c>
      <c r="F9" s="90">
        <v>2</v>
      </c>
      <c r="G9" s="90">
        <v>4</v>
      </c>
      <c r="H9" s="90">
        <v>3</v>
      </c>
      <c r="I9" s="90">
        <v>0</v>
      </c>
      <c r="J9" s="90">
        <v>0</v>
      </c>
      <c r="K9" s="90">
        <v>0</v>
      </c>
      <c r="L9" s="132" t="str">
        <f t="shared" si="0"/>
        <v>"ARTIFICER-7" : {
"Capacities":["Éclair de génie"],
"MinorSpellsNb": 2,
"Locations": {
"1":4,
"2":3,
"3":0,
"4":0,
"5":0},
"Impregnation": 6,
"ImpregnatedObjects": 3
}</v>
      </c>
      <c r="M9" s="90">
        <v>3</v>
      </c>
      <c r="N9" s="80"/>
      <c r="O9" s="90">
        <v>4</v>
      </c>
      <c r="P9" s="80">
        <v>4</v>
      </c>
      <c r="Q9" s="80">
        <v>3</v>
      </c>
      <c r="R9" s="80">
        <v>3</v>
      </c>
      <c r="S9" s="80">
        <v>1</v>
      </c>
      <c r="T9" s="80">
        <v>0</v>
      </c>
      <c r="U9" s="80">
        <v>0</v>
      </c>
      <c r="V9" s="80">
        <v>0</v>
      </c>
      <c r="W9" s="80">
        <v>0</v>
      </c>
      <c r="X9" s="80">
        <v>0</v>
      </c>
      <c r="Y9" s="80" t="str">
        <f t="shared" si="1"/>
        <v>"CLERK-7" : {
"Capacities":[],
"MinorSpellsNb": 4,
"Locations": {
"1":4,
"2":3,
"3":3,
"4":1,
"5":0,
"6":0,
"7":0,
"8":0,
"9":0}
}</v>
      </c>
      <c r="Z9" s="5">
        <v>3</v>
      </c>
      <c r="AA9" s="34" t="s">
        <v>2966</v>
      </c>
      <c r="AB9" s="5">
        <v>4</v>
      </c>
      <c r="AC9" s="5">
        <v>2</v>
      </c>
      <c r="AD9" s="169">
        <v>3</v>
      </c>
      <c r="AE9" s="169" t="s">
        <v>4072</v>
      </c>
      <c r="AF9" s="142" t="str">
        <f t="shared" si="2"/>
        <v>"BARBARIAN-7": {
"Capacities": ["Instinct sauvage"],
"Specials": 4,
"Damages": 2,
"ArmourlessSpeed": 3,
"ArmourlessCategories": ["3_HEAVY"]
}</v>
      </c>
      <c r="AG9" s="131">
        <v>3</v>
      </c>
      <c r="AH9" s="34"/>
      <c r="AI9" s="5">
        <v>3</v>
      </c>
      <c r="AJ9" s="5">
        <v>10</v>
      </c>
      <c r="AK9" s="34">
        <v>4</v>
      </c>
      <c r="AL9" s="34">
        <v>3</v>
      </c>
      <c r="AM9" s="34">
        <v>3</v>
      </c>
      <c r="AN9" s="34">
        <v>1</v>
      </c>
      <c r="AO9" s="34">
        <v>0</v>
      </c>
      <c r="AP9" s="34">
        <v>0</v>
      </c>
      <c r="AQ9" s="34">
        <v>0</v>
      </c>
      <c r="AR9" s="34">
        <v>0</v>
      </c>
      <c r="AS9" s="34">
        <v>0</v>
      </c>
      <c r="AT9" s="132" t="str">
        <f t="shared" si="3"/>
        <v>"BARD-7" : {
"Capacities":[],
"MinorSpellsNb": 3,
"SpellsNb": 10,
"Locations": {
"1":4,
"2":3,
"3":3,
"4":1,
"5":0,
"6":0,
"7":0,
"8":0,
"9":0}
}</v>
      </c>
      <c r="AU9" s="90">
        <v>3</v>
      </c>
      <c r="AV9" s="80"/>
      <c r="AW9" s="90">
        <v>4</v>
      </c>
      <c r="AX9" s="80">
        <v>4</v>
      </c>
      <c r="AY9" s="80">
        <v>3</v>
      </c>
      <c r="AZ9" s="80">
        <v>3</v>
      </c>
      <c r="BA9" s="80">
        <v>1</v>
      </c>
      <c r="BB9" s="80">
        <v>0</v>
      </c>
      <c r="BC9" s="80">
        <v>0</v>
      </c>
      <c r="BD9" s="80">
        <v>0</v>
      </c>
      <c r="BE9" s="80">
        <v>0</v>
      </c>
      <c r="BF9" s="80">
        <v>0</v>
      </c>
      <c r="BG9" s="80" t="str">
        <f t="shared" si="4"/>
        <v>"CLERK-7" : {
"Capacities":[],
"MinorSpellsNb": 4,
"Locations": {
"1":4,
"2":3,
"3":3,
"4":1,
"5":0,
"6":0,
"7":0,
"8":0,
"9":0}
}</v>
      </c>
      <c r="BH9" s="131">
        <v>3</v>
      </c>
      <c r="BI9" s="34"/>
      <c r="BJ9" s="5">
        <v>3</v>
      </c>
      <c r="BK9" s="34">
        <v>4</v>
      </c>
      <c r="BL9" s="34">
        <v>3</v>
      </c>
      <c r="BM9" s="34">
        <v>3</v>
      </c>
      <c r="BN9" s="34">
        <v>1</v>
      </c>
      <c r="BO9" s="34">
        <v>0</v>
      </c>
      <c r="BP9" s="34">
        <v>0</v>
      </c>
      <c r="BQ9" s="34">
        <v>0</v>
      </c>
      <c r="BR9" s="34">
        <v>0</v>
      </c>
      <c r="BS9" s="34">
        <v>0</v>
      </c>
      <c r="BT9" s="132" t="str">
        <f t="shared" si="5"/>
        <v>"DRUID-7" : {
"Capacities":[],
"MinorSpellsNb": 3,
"Locations": {
"1":4,
"2":3,
"3":3,
"4":1,
"5":0,
"6":0,
"7":0,
"8":0,
"9":0}
}</v>
      </c>
      <c r="BU9" s="5">
        <v>3</v>
      </c>
      <c r="BV9" s="5">
        <v>7</v>
      </c>
      <c r="BW9" s="34"/>
      <c r="BX9" s="5">
        <v>5</v>
      </c>
      <c r="BY9" s="5">
        <v>8</v>
      </c>
      <c r="BZ9" s="34">
        <v>4</v>
      </c>
      <c r="CA9" s="34">
        <v>3</v>
      </c>
      <c r="CB9" s="34">
        <v>3</v>
      </c>
      <c r="CC9" s="34">
        <v>1</v>
      </c>
      <c r="CD9" s="34">
        <v>0</v>
      </c>
      <c r="CE9" s="34">
        <v>0</v>
      </c>
      <c r="CF9" s="34">
        <v>0</v>
      </c>
      <c r="CG9" s="34">
        <v>0</v>
      </c>
      <c r="CH9" s="34">
        <v>0</v>
      </c>
      <c r="CI9" s="34" t="str">
        <f t="shared" si="6"/>
        <v>"SORCERER-7" : {
"Capacities":[],
"MinorSpellsNb": 5,
"SpellsNb": 8,
"Specials": 7,
"Locations": {
"1":4,
"2":3,
"3":3,
"4":1,
"5":0,
"6":0,
"7":0,
"8":0,
"9":0}
}</v>
      </c>
      <c r="CJ9" s="131">
        <v>3</v>
      </c>
      <c r="CK9" s="34" t="s">
        <v>3037</v>
      </c>
      <c r="CL9" s="90">
        <v>2</v>
      </c>
      <c r="CM9" s="90">
        <v>5</v>
      </c>
      <c r="CN9" s="90">
        <v>4</v>
      </c>
      <c r="CO9" s="90">
        <v>2</v>
      </c>
      <c r="CP9" s="90">
        <v>0</v>
      </c>
      <c r="CQ9" s="90">
        <v>0</v>
      </c>
      <c r="CR9" s="132" t="str">
        <f t="shared" si="7"/>
        <v>"WARRIOR-7" : {
"Capacities":["Capacité de l'archétype martial"],
"MinorSpellsNb": 2,
"SpellsNb": 5,
"Locations": {
"1":4,
"2":2,
"3":0,
"4":0}
}</v>
      </c>
      <c r="CS9" s="5">
        <v>3</v>
      </c>
      <c r="CT9" s="34"/>
      <c r="CU9" s="5">
        <v>4</v>
      </c>
      <c r="CV9" s="5">
        <v>4</v>
      </c>
      <c r="CW9" s="5">
        <v>3</v>
      </c>
      <c r="CX9" s="5">
        <v>3</v>
      </c>
      <c r="CY9" s="5">
        <v>1</v>
      </c>
      <c r="CZ9" s="5">
        <v>0</v>
      </c>
      <c r="DA9" s="5">
        <v>0</v>
      </c>
      <c r="DB9" s="5">
        <v>0</v>
      </c>
      <c r="DC9" s="5">
        <v>0</v>
      </c>
      <c r="DD9" s="5">
        <v>0</v>
      </c>
      <c r="DE9" s="5" t="str">
        <f t="shared" si="8"/>
        <v>"MAGICIAN-7" : {
"Capacities":[],
"MinorSpellsNb": 4,
"Locations": {
"1":4,
"2":3,
"3":3,
"4":1,
"5":0,
"6":0,
"7":0,
"8":0,
"9":0}
}</v>
      </c>
      <c r="DF9" s="139">
        <v>3</v>
      </c>
      <c r="DG9" s="115" t="s">
        <v>166</v>
      </c>
      <c r="DH9" s="115">
        <v>7</v>
      </c>
      <c r="DI9" s="169">
        <v>4.5</v>
      </c>
      <c r="DJ9" s="169" t="s">
        <v>4074</v>
      </c>
      <c r="DK9" s="144" t="s">
        <v>3020</v>
      </c>
      <c r="DL9" s="128" t="str">
        <f t="shared" si="9"/>
        <v>"MONK-7" : {
"Capacities":["Dérobade", "Tranquillité de l'esprit"],
"Specials": 7,
"BonusAttack": "1d6",
"ArmourlessSpeed": 4.5,
"ArmourlessCategories": ["1_LIGHT", "2_MID", "3_HEAVY"]
}</v>
      </c>
      <c r="DM9" s="90">
        <v>3</v>
      </c>
      <c r="DN9" s="80"/>
      <c r="DO9" s="90">
        <v>2</v>
      </c>
      <c r="DP9" s="90">
        <v>4</v>
      </c>
      <c r="DQ9" s="90">
        <v>38</v>
      </c>
      <c r="DR9" s="90">
        <v>6</v>
      </c>
      <c r="DS9" s="128" t="str">
        <f t="shared" si="14"/>
        <v>"MYSTICAL-7" : {
"Capacities":[],
"Specials": 38,
"BonusAttack": 2
}</v>
      </c>
      <c r="DT9" s="131">
        <v>3</v>
      </c>
      <c r="DU9" s="34" t="s">
        <v>3011</v>
      </c>
      <c r="DV9" s="34">
        <v>3</v>
      </c>
      <c r="DW9" s="34" t="s">
        <v>3265</v>
      </c>
      <c r="DX9" s="5">
        <v>4</v>
      </c>
      <c r="DY9" s="5">
        <v>3</v>
      </c>
      <c r="DZ9" s="5">
        <v>0</v>
      </c>
      <c r="EA9" s="5">
        <v>0</v>
      </c>
      <c r="EB9" s="5">
        <v>0</v>
      </c>
      <c r="EC9" s="135" t="str">
        <f t="shared" si="10"/>
        <v>"PALADIN-7" : {
"Capacities":["Capacité de serment sacré"],
"SpellsNb": 3,
"SpellsNbBonus": "CHA",
"Locations": {
"1":4,
"2":3,
"3":0,
"4":0,
"5":0}
}</v>
      </c>
      <c r="ED9" s="5">
        <v>3</v>
      </c>
      <c r="EE9" s="34" t="s">
        <v>3001</v>
      </c>
      <c r="EF9" s="5">
        <v>5</v>
      </c>
      <c r="EG9" s="5">
        <v>4</v>
      </c>
      <c r="EH9" s="5">
        <v>3</v>
      </c>
      <c r="EI9" s="5">
        <v>0</v>
      </c>
      <c r="EJ9" s="5">
        <v>0</v>
      </c>
      <c r="EK9" s="5">
        <v>0</v>
      </c>
      <c r="EL9" s="5" t="str">
        <f t="shared" si="11"/>
        <v>"PROWLER-7" : {
"Capacities":["Capacité de l'archétype de rôdeur"],
"SpellsNb":5,
"Locations": {
"1":4,
"2":3,
"3":0,
"4":0,
"5":0}
}</v>
      </c>
      <c r="EM9" s="131">
        <v>3</v>
      </c>
      <c r="EN9" s="5" t="s">
        <v>1002</v>
      </c>
      <c r="EO9" s="34" t="s">
        <v>2989</v>
      </c>
      <c r="EP9" s="90">
        <v>3</v>
      </c>
      <c r="EQ9" s="90">
        <v>5</v>
      </c>
      <c r="ER9" s="90">
        <v>4</v>
      </c>
      <c r="ES9" s="90">
        <v>2</v>
      </c>
      <c r="ET9" s="90">
        <v>0</v>
      </c>
      <c r="EU9" s="90">
        <v>0</v>
      </c>
      <c r="EV9" s="132" t="str">
        <f t="shared" si="12"/>
        <v>"WILY-7" : {
"Capacities":["Dérobade"],
"BonusAttack": "4d6",
"MinorSpellsNb": 3,
"SpellsNb": 5,
"Locations": {
"1":4,
"2":2,
"3":0,
"4":0
}
}</v>
      </c>
      <c r="EW9" s="5">
        <v>3</v>
      </c>
      <c r="EX9" s="34" t="s">
        <v>2977</v>
      </c>
      <c r="EY9" s="5">
        <v>3</v>
      </c>
      <c r="EZ9" s="5">
        <v>8</v>
      </c>
      <c r="FA9" s="5">
        <v>2</v>
      </c>
      <c r="FB9" s="5">
        <v>4</v>
      </c>
      <c r="FC9" s="5">
        <v>4</v>
      </c>
      <c r="FD9" s="116" t="str">
        <f t="shared" si="13"/>
        <v>"WIZARD-7" : {
"Capacities":["-"],
"MinorSpellsNb": 3,
"SpellsNb": 8,
"Locations": {"4":2},
"Invocations": 4
}</v>
      </c>
    </row>
    <row r="10" spans="1:160" ht="15" customHeight="1">
      <c r="A10" s="124">
        <v>8</v>
      </c>
      <c r="B10" s="91">
        <v>3</v>
      </c>
      <c r="C10" s="78" t="s">
        <v>2963</v>
      </c>
      <c r="D10" s="91">
        <v>6</v>
      </c>
      <c r="E10" s="91">
        <v>3</v>
      </c>
      <c r="F10" s="91">
        <v>2</v>
      </c>
      <c r="G10" s="91">
        <v>4</v>
      </c>
      <c r="H10" s="91">
        <v>3</v>
      </c>
      <c r="I10" s="91">
        <v>0</v>
      </c>
      <c r="J10" s="91">
        <v>0</v>
      </c>
      <c r="K10" s="91">
        <v>0</v>
      </c>
      <c r="L10" s="132" t="str">
        <f t="shared" si="0"/>
        <v>"ARTIFICER-8" : {
"Capacities":["Amélioration de caractéristiques"],
"MinorSpellsNb": 2,
"Locations": {
"1":4,
"2":3,
"3":0,
"4":0,
"5":0},
"Impregnation": 6,
"ImpregnatedObjects": 3
}</v>
      </c>
      <c r="M10" s="91">
        <v>3</v>
      </c>
      <c r="N10" s="78" t="s">
        <v>3054</v>
      </c>
      <c r="O10" s="91">
        <v>4</v>
      </c>
      <c r="P10" s="78">
        <v>4</v>
      </c>
      <c r="Q10" s="78">
        <v>3</v>
      </c>
      <c r="R10" s="78">
        <v>3</v>
      </c>
      <c r="S10" s="78">
        <v>2</v>
      </c>
      <c r="T10" s="78">
        <v>0</v>
      </c>
      <c r="U10" s="78">
        <v>0</v>
      </c>
      <c r="V10" s="78">
        <v>0</v>
      </c>
      <c r="W10" s="78">
        <v>0</v>
      </c>
      <c r="X10" s="78">
        <v>0</v>
      </c>
      <c r="Y10" s="80" t="str">
        <f t="shared" si="1"/>
        <v>"CLERK-8" : {
"Capacities":["Amélioration de caractéristiques", "Capacité de domaine divin,Destruction des morts-vivants (FP 1)"],
"MinorSpellsNb": 4,
"Locations": {
"1":4,
"2":3,
"3":3,
"4":2,
"5":0,
"6":0,
"7":0,
"8":0,
"9":0}
}</v>
      </c>
      <c r="Z10" s="4">
        <v>3</v>
      </c>
      <c r="AA10" s="31" t="s">
        <v>2963</v>
      </c>
      <c r="AB10" s="4">
        <v>4</v>
      </c>
      <c r="AC10" s="4">
        <v>2</v>
      </c>
      <c r="AD10" s="170">
        <v>3</v>
      </c>
      <c r="AE10" s="170" t="s">
        <v>4072</v>
      </c>
      <c r="AF10" s="142" t="str">
        <f t="shared" si="2"/>
        <v>"BARBARIAN-8": {
"Capacities": ["Amélioration de caractéristiques"],
"Specials": 4,
"Damages": 2,
"ArmourlessSpeed": 3,
"ArmourlessCategories": ["3_HEAVY"]
}</v>
      </c>
      <c r="AG10" s="133">
        <v>3</v>
      </c>
      <c r="AH10" s="31" t="s">
        <v>2963</v>
      </c>
      <c r="AI10" s="4">
        <v>3</v>
      </c>
      <c r="AJ10" s="4">
        <v>11</v>
      </c>
      <c r="AK10" s="31">
        <v>4</v>
      </c>
      <c r="AL10" s="31">
        <v>3</v>
      </c>
      <c r="AM10" s="31">
        <v>3</v>
      </c>
      <c r="AN10" s="31">
        <v>2</v>
      </c>
      <c r="AO10" s="31">
        <v>0</v>
      </c>
      <c r="AP10" s="31">
        <v>0</v>
      </c>
      <c r="AQ10" s="31">
        <v>0</v>
      </c>
      <c r="AR10" s="31">
        <v>0</v>
      </c>
      <c r="AS10" s="31">
        <v>0</v>
      </c>
      <c r="AT10" s="132" t="str">
        <f t="shared" si="3"/>
        <v>"BARD-8" : {
"Capacities":["Amélioration de caractéristiques"],
"MinorSpellsNb": 3,
"SpellsNb": 11,
"Locations": {
"1":4,
"2":3,
"3":3,
"4":2,
"5":0,
"6":0,
"7":0,
"8":0,
"9":0}
}</v>
      </c>
      <c r="AU10" s="91">
        <v>3</v>
      </c>
      <c r="AV10" s="78" t="s">
        <v>3054</v>
      </c>
      <c r="AW10" s="91">
        <v>4</v>
      </c>
      <c r="AX10" s="78">
        <v>4</v>
      </c>
      <c r="AY10" s="78">
        <v>3</v>
      </c>
      <c r="AZ10" s="78">
        <v>3</v>
      </c>
      <c r="BA10" s="78">
        <v>2</v>
      </c>
      <c r="BB10" s="78">
        <v>0</v>
      </c>
      <c r="BC10" s="78">
        <v>0</v>
      </c>
      <c r="BD10" s="78">
        <v>0</v>
      </c>
      <c r="BE10" s="78">
        <v>0</v>
      </c>
      <c r="BF10" s="78">
        <v>0</v>
      </c>
      <c r="BG10" s="80" t="str">
        <f t="shared" si="4"/>
        <v>"CLERK-8" : {
"Capacities":["Amélioration de caractéristiques", "Capacité de domaine divin,Destruction des morts-vivants (FP 1)"],
"MinorSpellsNb": 4,
"Locations": {
"1":4,
"2":3,
"3":3,
"4":2,
"5":0,
"6":0,
"7":0,
"8":0,
"9":0}
}</v>
      </c>
      <c r="BH10" s="133">
        <v>3</v>
      </c>
      <c r="BI10" s="31" t="s">
        <v>3047</v>
      </c>
      <c r="BJ10" s="4">
        <v>3</v>
      </c>
      <c r="BK10" s="31">
        <v>4</v>
      </c>
      <c r="BL10" s="31">
        <v>3</v>
      </c>
      <c r="BM10" s="31">
        <v>3</v>
      </c>
      <c r="BN10" s="31">
        <v>2</v>
      </c>
      <c r="BO10" s="31">
        <v>0</v>
      </c>
      <c r="BP10" s="31">
        <v>0</v>
      </c>
      <c r="BQ10" s="31">
        <v>0</v>
      </c>
      <c r="BR10" s="31">
        <v>0</v>
      </c>
      <c r="BS10" s="31">
        <v>0</v>
      </c>
      <c r="BT10" s="132" t="str">
        <f t="shared" si="5"/>
        <v>"DRUID-8" : {
"Capacities":["Forme sauvage améliorée, Amélioration de caractéristiques"],
"MinorSpellsNb": 3,
"Locations": {
"1":4,
"2":3,
"3":3,
"4":2,
"5":0,
"6":0,
"7":0,
"8":0,
"9":0}
}</v>
      </c>
      <c r="BU10" s="4">
        <v>3</v>
      </c>
      <c r="BV10" s="4">
        <v>8</v>
      </c>
      <c r="BW10" s="31" t="s">
        <v>2963</v>
      </c>
      <c r="BX10" s="4">
        <v>5</v>
      </c>
      <c r="BY10" s="4">
        <v>9</v>
      </c>
      <c r="BZ10" s="31">
        <v>4</v>
      </c>
      <c r="CA10" s="31">
        <v>3</v>
      </c>
      <c r="CB10" s="31">
        <v>3</v>
      </c>
      <c r="CC10" s="31">
        <v>2</v>
      </c>
      <c r="CD10" s="31">
        <v>0</v>
      </c>
      <c r="CE10" s="31">
        <v>0</v>
      </c>
      <c r="CF10" s="31">
        <v>0</v>
      </c>
      <c r="CG10" s="31">
        <v>0</v>
      </c>
      <c r="CH10" s="31">
        <v>0</v>
      </c>
      <c r="CI10" s="34" t="str">
        <f t="shared" si="6"/>
        <v>"SORCERER-8" : {
"Capacities":["Amélioration de caractéristiques"],
"MinorSpellsNb": 5,
"SpellsNb": 9,
"Specials": 8,
"Locations": {
"1":4,
"2":3,
"3":3,
"4":2,
"5":0,
"6":0,
"7":0,
"8":0,
"9":0}
}</v>
      </c>
      <c r="CJ10" s="133">
        <v>3</v>
      </c>
      <c r="CK10" s="31" t="s">
        <v>2963</v>
      </c>
      <c r="CL10" s="91">
        <v>2</v>
      </c>
      <c r="CM10" s="91">
        <v>6</v>
      </c>
      <c r="CN10" s="91">
        <v>4</v>
      </c>
      <c r="CO10" s="91">
        <v>2</v>
      </c>
      <c r="CP10" s="91">
        <v>0</v>
      </c>
      <c r="CQ10" s="91">
        <v>0</v>
      </c>
      <c r="CR10" s="132" t="str">
        <f t="shared" si="7"/>
        <v>"WARRIOR-8" : {
"Capacities":["Amélioration de caractéristiques"],
"MinorSpellsNb": 2,
"SpellsNb": 6,
"Locations": {
"1":4,
"2":2,
"3":0,
"4":0}
}</v>
      </c>
      <c r="CS10" s="4">
        <v>3</v>
      </c>
      <c r="CT10" s="31" t="s">
        <v>2963</v>
      </c>
      <c r="CU10" s="4">
        <v>4</v>
      </c>
      <c r="CV10" s="4">
        <v>4</v>
      </c>
      <c r="CW10" s="4">
        <v>3</v>
      </c>
      <c r="CX10" s="4">
        <v>3</v>
      </c>
      <c r="CY10" s="4">
        <v>2</v>
      </c>
      <c r="CZ10" s="4">
        <v>0</v>
      </c>
      <c r="DA10" s="4">
        <v>0</v>
      </c>
      <c r="DB10" s="4">
        <v>0</v>
      </c>
      <c r="DC10" s="4">
        <v>0</v>
      </c>
      <c r="DD10" s="4">
        <v>0</v>
      </c>
      <c r="DE10" s="5" t="str">
        <f t="shared" si="8"/>
        <v>"MAGICIAN-8" : {
"Capacities":["Amélioration de caractéristiques"],
"MinorSpellsNb": 4,
"Locations": {
"1":4,
"2":3,
"3":3,
"4":2,
"5":0,
"6":0,
"7":0,
"8":0,
"9":0}
}</v>
      </c>
      <c r="DF10" s="140">
        <v>3</v>
      </c>
      <c r="DG10" s="117" t="s">
        <v>166</v>
      </c>
      <c r="DH10" s="117">
        <v>8</v>
      </c>
      <c r="DI10" s="170">
        <v>4.5</v>
      </c>
      <c r="DJ10" s="170" t="s">
        <v>4074</v>
      </c>
      <c r="DK10" s="145" t="s">
        <v>2963</v>
      </c>
      <c r="DL10" s="128" t="str">
        <f t="shared" si="9"/>
        <v>"MONK-8" : {
"Capacities":["Amélioration de caractéristiques"],
"Specials": 8,
"BonusAttack": "1d6",
"ArmourlessSpeed": 4.5,
"ArmourlessCategories": ["1_LIGHT", "2_MID", "3_HEAVY"]
}</v>
      </c>
      <c r="DM10" s="91">
        <v>3</v>
      </c>
      <c r="DN10" s="78" t="s">
        <v>6107</v>
      </c>
      <c r="DO10" s="91">
        <v>2</v>
      </c>
      <c r="DP10" s="91">
        <v>4</v>
      </c>
      <c r="DQ10" s="91">
        <v>44</v>
      </c>
      <c r="DR10" s="91">
        <v>6</v>
      </c>
      <c r="DS10" s="128" t="str">
        <f t="shared" si="14"/>
        <v>"MYSTICAL-8" : {
"Capacities":["Amlioration de caractéristiques", "Psionique puissant"],
"Specials": 44,
"BonusAttack": 2
}</v>
      </c>
      <c r="DT10" s="133">
        <v>3</v>
      </c>
      <c r="DU10" s="31" t="s">
        <v>2963</v>
      </c>
      <c r="DV10" s="31">
        <v>4</v>
      </c>
      <c r="DW10" s="31" t="s">
        <v>3265</v>
      </c>
      <c r="DX10" s="4">
        <v>4</v>
      </c>
      <c r="DY10" s="4">
        <v>3</v>
      </c>
      <c r="DZ10" s="4">
        <v>0</v>
      </c>
      <c r="EA10" s="4">
        <v>0</v>
      </c>
      <c r="EB10" s="4">
        <v>0</v>
      </c>
      <c r="EC10" s="135" t="str">
        <f t="shared" si="10"/>
        <v>"PALADIN-8" : {
"Capacities":["Amélioration de caractéristiques"],
"SpellsNb": 4,
"SpellsNbBonus": "CHA",
"Locations": {
"1":4,
"2":3,
"3":0,
"4":0,
"5":0}
}</v>
      </c>
      <c r="ED10" s="4">
        <v>3</v>
      </c>
      <c r="EE10" s="31" t="s">
        <v>3002</v>
      </c>
      <c r="EF10" s="4">
        <v>5</v>
      </c>
      <c r="EG10" s="4">
        <v>4</v>
      </c>
      <c r="EH10" s="4">
        <v>3</v>
      </c>
      <c r="EI10" s="4">
        <v>0</v>
      </c>
      <c r="EJ10" s="4">
        <v>0</v>
      </c>
      <c r="EK10" s="4">
        <v>0</v>
      </c>
      <c r="EL10" s="5" t="str">
        <f t="shared" si="11"/>
        <v>"PROWLER-8" : {
"Capacities":["Amélioration de caractéristiques", "Traversée des terrains"],
"SpellsNb":5,
"Locations": {
"1":4,
"2":3,
"3":0,
"4":0,
"5":0}
}</v>
      </c>
      <c r="EM10" s="133">
        <v>3</v>
      </c>
      <c r="EN10" s="4" t="s">
        <v>1002</v>
      </c>
      <c r="EO10" s="31" t="s">
        <v>2963</v>
      </c>
      <c r="EP10" s="91">
        <v>3</v>
      </c>
      <c r="EQ10" s="91">
        <v>6</v>
      </c>
      <c r="ER10" s="91">
        <v>4</v>
      </c>
      <c r="ES10" s="91">
        <v>2</v>
      </c>
      <c r="ET10" s="91">
        <v>0</v>
      </c>
      <c r="EU10" s="91">
        <v>0</v>
      </c>
      <c r="EV10" s="132" t="str">
        <f t="shared" si="12"/>
        <v>"WILY-8" : {
"Capacities":["Amélioration de caractéristiques"],
"BonusAttack": "4d6",
"MinorSpellsNb": 3,
"SpellsNb": 6,
"Locations": {
"1":4,
"2":2,
"3":0,
"4":0
}
}</v>
      </c>
      <c r="EW10" s="4">
        <v>3</v>
      </c>
      <c r="EX10" s="31" t="s">
        <v>2963</v>
      </c>
      <c r="EY10" s="4">
        <v>3</v>
      </c>
      <c r="EZ10" s="4">
        <v>9</v>
      </c>
      <c r="FA10" s="4">
        <v>2</v>
      </c>
      <c r="FB10" s="4">
        <v>4</v>
      </c>
      <c r="FC10" s="4">
        <v>4</v>
      </c>
      <c r="FD10" s="116" t="str">
        <f t="shared" si="13"/>
        <v>"WIZARD-8" : {
"Capacities":["Amélioration de caractéristiques"],
"MinorSpellsNb": 3,
"SpellsNb": 9,
"Locations": {"4":2},
"Invocations": 4
}</v>
      </c>
    </row>
    <row r="11" spans="1:160" ht="15" customHeight="1">
      <c r="A11" s="123">
        <v>9</v>
      </c>
      <c r="B11" s="90">
        <v>4</v>
      </c>
      <c r="C11" s="80" t="s">
        <v>5958</v>
      </c>
      <c r="D11" s="90">
        <v>6</v>
      </c>
      <c r="E11" s="90">
        <v>3</v>
      </c>
      <c r="F11" s="90">
        <v>2</v>
      </c>
      <c r="G11" s="90">
        <v>4</v>
      </c>
      <c r="H11" s="90">
        <v>3</v>
      </c>
      <c r="I11" s="90">
        <v>2</v>
      </c>
      <c r="J11" s="90">
        <v>0</v>
      </c>
      <c r="K11" s="90">
        <v>0</v>
      </c>
      <c r="L11" s="132" t="str">
        <f t="shared" si="0"/>
        <v>"ARTIFICER-9" : {
"Capacities":["Capacité de la spécialité d'artificier"],
"MinorSpellsNb": 2,
"Locations": {
"1":4,
"2":3,
"3":2,
"4":0,
"5":0},
"Impregnation": 6,
"ImpregnatedObjects": 3
}</v>
      </c>
      <c r="M11" s="90">
        <v>4</v>
      </c>
      <c r="N11" s="80"/>
      <c r="O11" s="90">
        <v>4</v>
      </c>
      <c r="P11" s="80">
        <v>4</v>
      </c>
      <c r="Q11" s="80">
        <v>3</v>
      </c>
      <c r="R11" s="80">
        <v>3</v>
      </c>
      <c r="S11" s="80">
        <v>3</v>
      </c>
      <c r="T11" s="80">
        <v>1</v>
      </c>
      <c r="U11" s="80">
        <v>0</v>
      </c>
      <c r="V11" s="80">
        <v>0</v>
      </c>
      <c r="W11" s="80">
        <v>0</v>
      </c>
      <c r="X11" s="80">
        <v>0</v>
      </c>
      <c r="Y11" s="80" t="str">
        <f t="shared" si="1"/>
        <v>"CLERK-9" : {
"Capacities":[],
"MinorSpellsNb": 4,
"Locations": {
"1":4,
"2":3,
"3":3,
"4":3,
"5":1,
"6":0,
"7":0,
"8":0,
"9":0}
}</v>
      </c>
      <c r="Z11" s="5">
        <v>4</v>
      </c>
      <c r="AA11" s="34" t="s">
        <v>2967</v>
      </c>
      <c r="AB11" s="5">
        <v>4</v>
      </c>
      <c r="AC11" s="5">
        <v>3</v>
      </c>
      <c r="AD11" s="169">
        <v>3</v>
      </c>
      <c r="AE11" s="169" t="s">
        <v>4072</v>
      </c>
      <c r="AF11" s="142" t="str">
        <f t="shared" si="2"/>
        <v>"BARBARIAN-9": {
"Capacities": ["Critique brutal (1 dé)"],
"Specials": 4,
"Damages": 3,
"ArmourlessSpeed": 3,
"ArmourlessCategories": ["3_HEAVY"]
}</v>
      </c>
      <c r="AG11" s="131">
        <v>4</v>
      </c>
      <c r="AH11" s="34" t="s">
        <v>3890</v>
      </c>
      <c r="AI11" s="5">
        <v>3</v>
      </c>
      <c r="AJ11" s="5">
        <v>12</v>
      </c>
      <c r="AK11" s="34">
        <v>4</v>
      </c>
      <c r="AL11" s="34">
        <v>3</v>
      </c>
      <c r="AM11" s="34">
        <v>3</v>
      </c>
      <c r="AN11" s="34">
        <v>3</v>
      </c>
      <c r="AO11" s="34">
        <v>1</v>
      </c>
      <c r="AP11" s="34">
        <v>0</v>
      </c>
      <c r="AQ11" s="34">
        <v>0</v>
      </c>
      <c r="AR11" s="34">
        <v>0</v>
      </c>
      <c r="AS11" s="34">
        <v>0</v>
      </c>
      <c r="AT11" s="132" t="str">
        <f t="shared" si="3"/>
        <v>"BARD-9" : {
"Capacities":["Chant de repos"],
"MinorSpellsNb": 3,
"SpellsNb": 12,
"Locations": {
"1":4,
"2":3,
"3":3,
"4":3,
"5":1,
"6":0,
"7":0,
"8":0,
"9":0}
}</v>
      </c>
      <c r="AU11" s="90">
        <v>4</v>
      </c>
      <c r="AV11" s="80"/>
      <c r="AW11" s="90">
        <v>4</v>
      </c>
      <c r="AX11" s="80">
        <v>4</v>
      </c>
      <c r="AY11" s="80">
        <v>3</v>
      </c>
      <c r="AZ11" s="80">
        <v>3</v>
      </c>
      <c r="BA11" s="80">
        <v>3</v>
      </c>
      <c r="BB11" s="80">
        <v>1</v>
      </c>
      <c r="BC11" s="80">
        <v>0</v>
      </c>
      <c r="BD11" s="80">
        <v>0</v>
      </c>
      <c r="BE11" s="80">
        <v>0</v>
      </c>
      <c r="BF11" s="80">
        <v>0</v>
      </c>
      <c r="BG11" s="80" t="str">
        <f t="shared" si="4"/>
        <v>"CLERK-9" : {
"Capacities":[],
"MinorSpellsNb": 4,
"Locations": {
"1":4,
"2":3,
"3":3,
"4":3,
"5":1,
"6":0,
"7":0,
"8":0,
"9":0}
}</v>
      </c>
      <c r="BH11" s="131">
        <v>4</v>
      </c>
      <c r="BI11" s="34"/>
      <c r="BJ11" s="5">
        <v>3</v>
      </c>
      <c r="BK11" s="34">
        <v>4</v>
      </c>
      <c r="BL11" s="34">
        <v>3</v>
      </c>
      <c r="BM11" s="34">
        <v>3</v>
      </c>
      <c r="BN11" s="34">
        <v>3</v>
      </c>
      <c r="BO11" s="34">
        <v>1</v>
      </c>
      <c r="BP11" s="34">
        <v>0</v>
      </c>
      <c r="BQ11" s="34">
        <v>0</v>
      </c>
      <c r="BR11" s="34">
        <v>0</v>
      </c>
      <c r="BS11" s="34">
        <v>0</v>
      </c>
      <c r="BT11" s="132" t="str">
        <f t="shared" si="5"/>
        <v>"DRUID-9" : {
"Capacities":[],
"MinorSpellsNb": 3,
"Locations": {
"1":4,
"2":3,
"3":3,
"4":3,
"5":1,
"6":0,
"7":0,
"8":0,
"9":0}
}</v>
      </c>
      <c r="BU11" s="5">
        <v>4</v>
      </c>
      <c r="BV11" s="5">
        <v>9</v>
      </c>
      <c r="BW11" s="34"/>
      <c r="BX11" s="5">
        <v>5</v>
      </c>
      <c r="BY11" s="5">
        <v>10</v>
      </c>
      <c r="BZ11" s="34">
        <v>4</v>
      </c>
      <c r="CA11" s="34">
        <v>3</v>
      </c>
      <c r="CB11" s="34">
        <v>3</v>
      </c>
      <c r="CC11" s="34">
        <v>3</v>
      </c>
      <c r="CD11" s="34">
        <v>1</v>
      </c>
      <c r="CE11" s="34">
        <v>0</v>
      </c>
      <c r="CF11" s="34">
        <v>0</v>
      </c>
      <c r="CG11" s="34">
        <v>0</v>
      </c>
      <c r="CH11" s="34">
        <v>0</v>
      </c>
      <c r="CI11" s="34" t="str">
        <f t="shared" si="6"/>
        <v>"SORCERER-9" : {
"Capacities":[],
"MinorSpellsNb": 5,
"SpellsNb": 10,
"Specials": 9,
"Locations": {
"1":4,
"2":3,
"3":3,
"4":3,
"5":1,
"6":0,
"7":0,
"8":0,
"9":0}
}</v>
      </c>
      <c r="CJ11" s="131">
        <v>4</v>
      </c>
      <c r="CK11" s="34" t="s">
        <v>3912</v>
      </c>
      <c r="CL11" s="90">
        <v>2</v>
      </c>
      <c r="CM11" s="90">
        <v>6</v>
      </c>
      <c r="CN11" s="90">
        <v>4</v>
      </c>
      <c r="CO11" s="90">
        <v>2</v>
      </c>
      <c r="CP11" s="90">
        <v>0</v>
      </c>
      <c r="CQ11" s="90">
        <v>0</v>
      </c>
      <c r="CR11" s="132" t="str">
        <f t="shared" si="7"/>
        <v>"WARRIOR-9" : {
"Capacities":["Indomptable"],
"MinorSpellsNb": 2,
"SpellsNb": 6,
"Locations": {
"1":4,
"2":2,
"3":0,
"4":0}
}</v>
      </c>
      <c r="CS11" s="5">
        <v>4</v>
      </c>
      <c r="CT11" s="34"/>
      <c r="CU11" s="5">
        <v>4</v>
      </c>
      <c r="CV11" s="5">
        <v>4</v>
      </c>
      <c r="CW11" s="5">
        <v>3</v>
      </c>
      <c r="CX11" s="5">
        <v>3</v>
      </c>
      <c r="CY11" s="5">
        <v>3</v>
      </c>
      <c r="CZ11" s="5">
        <v>1</v>
      </c>
      <c r="DA11" s="5">
        <v>0</v>
      </c>
      <c r="DB11" s="5">
        <v>0</v>
      </c>
      <c r="DC11" s="5">
        <v>0</v>
      </c>
      <c r="DD11" s="5">
        <v>0</v>
      </c>
      <c r="DE11" s="5" t="str">
        <f t="shared" si="8"/>
        <v>"MAGICIAN-9" : {
"Capacities":[],
"MinorSpellsNb": 4,
"Locations": {
"1":4,
"2":3,
"3":3,
"4":3,
"5":1,
"6":0,
"7":0,
"8":0,
"9":0}
}</v>
      </c>
      <c r="DF11" s="139">
        <v>4</v>
      </c>
      <c r="DG11" s="115" t="s">
        <v>166</v>
      </c>
      <c r="DH11" s="115">
        <v>9</v>
      </c>
      <c r="DI11" s="169">
        <v>4.5</v>
      </c>
      <c r="DJ11" s="169" t="s">
        <v>4074</v>
      </c>
      <c r="DK11" s="144" t="s">
        <v>3021</v>
      </c>
      <c r="DL11" s="128" t="str">
        <f t="shared" si="9"/>
        <v>"MONK-9" : {
"Capacities":["Déplacement sans armure amélioré"],
"Specials": 9,
"BonusAttack": "1d6",
"ArmourlessSpeed": 4.5,
"ArmourlessCategories": ["1_LIGHT", "2_MID", "3_HEAVY"]
}</v>
      </c>
      <c r="DM11" s="90">
        <v>4</v>
      </c>
      <c r="DN11" s="80"/>
      <c r="DO11" s="90">
        <v>2</v>
      </c>
      <c r="DP11" s="90">
        <v>5</v>
      </c>
      <c r="DQ11" s="90">
        <v>57</v>
      </c>
      <c r="DR11" s="90">
        <v>7</v>
      </c>
      <c r="DS11" s="128" t="str">
        <f t="shared" si="14"/>
        <v>"MYSTICAL-9" : {
"Capacities":[],
"Specials": 57,
"BonusAttack": 2
}</v>
      </c>
      <c r="DT11" s="131">
        <v>4</v>
      </c>
      <c r="DU11" s="34"/>
      <c r="DV11" s="34">
        <v>4</v>
      </c>
      <c r="DW11" s="34" t="s">
        <v>3265</v>
      </c>
      <c r="DX11" s="5">
        <v>4</v>
      </c>
      <c r="DY11" s="5">
        <v>3</v>
      </c>
      <c r="DZ11" s="5">
        <v>2</v>
      </c>
      <c r="EA11" s="5">
        <v>0</v>
      </c>
      <c r="EB11" s="5">
        <v>0</v>
      </c>
      <c r="EC11" s="135" t="str">
        <f t="shared" si="10"/>
        <v>"PALADIN-9" : {
"Capacities":[],
"SpellsNb": 4,
"SpellsNbBonus": "CHA",
"Locations": {
"1":4,
"2":3,
"3":2,
"4":0,
"5":0}
}</v>
      </c>
      <c r="ED11" s="5">
        <v>4</v>
      </c>
      <c r="EE11" s="34"/>
      <c r="EF11" s="5">
        <v>6</v>
      </c>
      <c r="EG11" s="5">
        <v>4</v>
      </c>
      <c r="EH11" s="5">
        <v>3</v>
      </c>
      <c r="EI11" s="5">
        <v>2</v>
      </c>
      <c r="EJ11" s="5">
        <v>0</v>
      </c>
      <c r="EK11" s="5">
        <v>0</v>
      </c>
      <c r="EL11" s="5" t="str">
        <f t="shared" si="11"/>
        <v>"PROWLER-9" : {
"Capacities":[],
"SpellsNb":6,
"Locations": {
"1":4,
"2":3,
"3":2,
"4":0,
"5":0}
}</v>
      </c>
      <c r="EM11" s="131">
        <v>4</v>
      </c>
      <c r="EN11" s="5" t="s">
        <v>1003</v>
      </c>
      <c r="EO11" s="34" t="s">
        <v>2990</v>
      </c>
      <c r="EP11" s="90">
        <v>3</v>
      </c>
      <c r="EQ11" s="90">
        <v>6</v>
      </c>
      <c r="ER11" s="90">
        <v>4</v>
      </c>
      <c r="ES11" s="90">
        <v>2</v>
      </c>
      <c r="ET11" s="90">
        <v>0</v>
      </c>
      <c r="EU11" s="90">
        <v>0</v>
      </c>
      <c r="EV11" s="132" t="str">
        <f t="shared" si="12"/>
        <v>"WILY-9" : {
"Capacities":["Capacité de l'archétype de roublard"],
"BonusAttack": "5d6",
"MinorSpellsNb": 3,
"SpellsNb": 6,
"Locations": {
"1":4,
"2":2,
"3":0,
"4":0
}
}</v>
      </c>
      <c r="EW11" s="5">
        <v>4</v>
      </c>
      <c r="EX11" s="34" t="s">
        <v>2977</v>
      </c>
      <c r="EY11" s="5">
        <v>3</v>
      </c>
      <c r="EZ11" s="5">
        <v>10</v>
      </c>
      <c r="FA11" s="5">
        <v>2</v>
      </c>
      <c r="FB11" s="5">
        <v>5</v>
      </c>
      <c r="FC11" s="5">
        <v>5</v>
      </c>
      <c r="FD11" s="116" t="str">
        <f t="shared" si="13"/>
        <v>"WIZARD-9" : {
"Capacities":["-"],
"MinorSpellsNb": 3,
"SpellsNb": 10,
"Locations": {"5":2},
"Invocations": 5
}</v>
      </c>
    </row>
    <row r="12" spans="1:160" ht="15" customHeight="1">
      <c r="A12" s="124">
        <v>10</v>
      </c>
      <c r="B12" s="91">
        <v>4</v>
      </c>
      <c r="C12" s="78" t="s">
        <v>5961</v>
      </c>
      <c r="D12" s="91">
        <v>8</v>
      </c>
      <c r="E12" s="91">
        <v>4</v>
      </c>
      <c r="F12" s="91">
        <v>3</v>
      </c>
      <c r="G12" s="91">
        <v>4</v>
      </c>
      <c r="H12" s="91">
        <v>3</v>
      </c>
      <c r="I12" s="91">
        <v>2</v>
      </c>
      <c r="J12" s="91">
        <v>0</v>
      </c>
      <c r="K12" s="91">
        <v>0</v>
      </c>
      <c r="L12" s="132" t="str">
        <f t="shared" si="0"/>
        <v>"ARTIFICER-10" : {
"Capacities":["Expert en objets magiques"],
"MinorSpellsNb": 3,
"Locations": {
"1":4,
"2":3,
"3":2,
"4":0,
"5":0},
"Impregnation": 8,
"ImpregnatedObjects": 4
}</v>
      </c>
      <c r="M12" s="91">
        <v>4</v>
      </c>
      <c r="N12" s="78" t="s">
        <v>3055</v>
      </c>
      <c r="O12" s="91">
        <v>5</v>
      </c>
      <c r="P12" s="78">
        <v>4</v>
      </c>
      <c r="Q12" s="78">
        <v>3</v>
      </c>
      <c r="R12" s="78">
        <v>3</v>
      </c>
      <c r="S12" s="78">
        <v>3</v>
      </c>
      <c r="T12" s="78">
        <v>2</v>
      </c>
      <c r="U12" s="78">
        <v>0</v>
      </c>
      <c r="V12" s="78">
        <v>0</v>
      </c>
      <c r="W12" s="78">
        <v>0</v>
      </c>
      <c r="X12" s="78">
        <v>0</v>
      </c>
      <c r="Y12" s="80" t="str">
        <f t="shared" si="1"/>
        <v>"CLERK-10" : {
"Capacities":["Intervention divine"],
"MinorSpellsNb": 5,
"Locations": {
"1":4,
"2":3,
"3":3,
"4":3,
"5":2,
"6":0,
"7":0,
"8":0,
"9":0}
}</v>
      </c>
      <c r="Z12" s="4">
        <v>4</v>
      </c>
      <c r="AA12" s="31" t="s">
        <v>2965</v>
      </c>
      <c r="AB12" s="4">
        <v>4</v>
      </c>
      <c r="AC12" s="4">
        <v>3</v>
      </c>
      <c r="AD12" s="170">
        <v>3</v>
      </c>
      <c r="AE12" s="170" t="s">
        <v>4072</v>
      </c>
      <c r="AF12" s="142" t="str">
        <f t="shared" si="2"/>
        <v>"BARBARIAN-10": {
"Capacities": ["Capacité de voie"],
"Specials": 4,
"Damages": 3,
"ArmourlessSpeed": 3,
"ArmourlessCategories": ["3_HEAVY"]
}</v>
      </c>
      <c r="AG12" s="133">
        <v>4</v>
      </c>
      <c r="AH12" s="31" t="s">
        <v>3889</v>
      </c>
      <c r="AI12" s="4">
        <v>4</v>
      </c>
      <c r="AJ12" s="4">
        <v>14</v>
      </c>
      <c r="AK12" s="31">
        <v>4</v>
      </c>
      <c r="AL12" s="31">
        <v>3</v>
      </c>
      <c r="AM12" s="31">
        <v>3</v>
      </c>
      <c r="AN12" s="31">
        <v>3</v>
      </c>
      <c r="AO12" s="31">
        <v>2</v>
      </c>
      <c r="AP12" s="31">
        <v>0</v>
      </c>
      <c r="AQ12" s="31">
        <v>0</v>
      </c>
      <c r="AR12" s="31">
        <v>0</v>
      </c>
      <c r="AS12" s="31">
        <v>0</v>
      </c>
      <c r="AT12" s="132" t="str">
        <f t="shared" si="3"/>
        <v>"BARD-10" : {
"Capacities":["Expertise", "Secrets magiques"],
"MinorSpellsNb": 4,
"SpellsNb": 14,
"Locations": {
"1":4,
"2":3,
"3":3,
"4":3,
"5":2,
"6":0,
"7":0,
"8":0,
"9":0}
}</v>
      </c>
      <c r="AU12" s="91">
        <v>4</v>
      </c>
      <c r="AV12" s="78" t="s">
        <v>3055</v>
      </c>
      <c r="AW12" s="91">
        <v>5</v>
      </c>
      <c r="AX12" s="78">
        <v>4</v>
      </c>
      <c r="AY12" s="78">
        <v>3</v>
      </c>
      <c r="AZ12" s="78">
        <v>3</v>
      </c>
      <c r="BA12" s="78">
        <v>3</v>
      </c>
      <c r="BB12" s="78">
        <v>2</v>
      </c>
      <c r="BC12" s="78">
        <v>0</v>
      </c>
      <c r="BD12" s="78">
        <v>0</v>
      </c>
      <c r="BE12" s="78">
        <v>0</v>
      </c>
      <c r="BF12" s="78">
        <v>0</v>
      </c>
      <c r="BG12" s="80" t="str">
        <f t="shared" si="4"/>
        <v>"CLERK-10" : {
"Capacities":["Intervention divine"],
"MinorSpellsNb": 5,
"Locations": {
"1":4,
"2":3,
"3":3,
"4":3,
"5":2,
"6":0,
"7":0,
"8":0,
"9":0}
}</v>
      </c>
      <c r="BH12" s="133">
        <v>4</v>
      </c>
      <c r="BI12" s="31" t="s">
        <v>3048</v>
      </c>
      <c r="BJ12" s="4">
        <v>4</v>
      </c>
      <c r="BK12" s="31">
        <v>4</v>
      </c>
      <c r="BL12" s="31">
        <v>3</v>
      </c>
      <c r="BM12" s="31">
        <v>3</v>
      </c>
      <c r="BN12" s="31">
        <v>3</v>
      </c>
      <c r="BO12" s="31">
        <v>2</v>
      </c>
      <c r="BP12" s="31">
        <v>0</v>
      </c>
      <c r="BQ12" s="31">
        <v>0</v>
      </c>
      <c r="BR12" s="31">
        <v>0</v>
      </c>
      <c r="BS12" s="31">
        <v>0</v>
      </c>
      <c r="BT12" s="132" t="str">
        <f t="shared" si="5"/>
        <v>"DRUID-10" : {
"Capacities":["Capacité de cercle druidique"],
"MinorSpellsNb": 4,
"Locations": {
"1":4,
"2":3,
"3":3,
"4":3,
"5":2,
"6":0,
"7":0,
"8":0,
"9":0}
}</v>
      </c>
      <c r="BU12" s="4">
        <v>4</v>
      </c>
      <c r="BV12" s="4">
        <v>10</v>
      </c>
      <c r="BW12" s="31" t="s">
        <v>3042</v>
      </c>
      <c r="BX12" s="4">
        <v>6</v>
      </c>
      <c r="BY12" s="4">
        <v>11</v>
      </c>
      <c r="BZ12" s="31">
        <v>4</v>
      </c>
      <c r="CA12" s="31">
        <v>3</v>
      </c>
      <c r="CB12" s="31">
        <v>3</v>
      </c>
      <c r="CC12" s="31">
        <v>3</v>
      </c>
      <c r="CD12" s="31">
        <v>2</v>
      </c>
      <c r="CE12" s="31">
        <v>0</v>
      </c>
      <c r="CF12" s="31">
        <v>0</v>
      </c>
      <c r="CG12" s="31">
        <v>0</v>
      </c>
      <c r="CH12" s="31">
        <v>0</v>
      </c>
      <c r="CI12" s="34" t="str">
        <f t="shared" si="6"/>
        <v>"SORCERER-10" : {
"Capacities":["Métamagie"],
"MinorSpellsNb": 6,
"SpellsNb": 11,
"Specials": 10,
"Locations": {
"1":4,
"2":3,
"3":3,
"4":3,
"5":2,
"6":0,
"7":0,
"8":0,
"9":0}
}</v>
      </c>
      <c r="CJ12" s="133">
        <v>4</v>
      </c>
      <c r="CK12" s="31" t="s">
        <v>3037</v>
      </c>
      <c r="CL12" s="91">
        <v>3</v>
      </c>
      <c r="CM12" s="91">
        <v>7</v>
      </c>
      <c r="CN12" s="91">
        <v>4</v>
      </c>
      <c r="CO12" s="91">
        <v>3</v>
      </c>
      <c r="CP12" s="91">
        <v>0</v>
      </c>
      <c r="CQ12" s="91">
        <v>0</v>
      </c>
      <c r="CR12" s="132" t="str">
        <f t="shared" si="7"/>
        <v>"WARRIOR-10" : {
"Capacities":["Capacité de l'archétype martial"],
"MinorSpellsNb": 3,
"SpellsNb": 7,
"Locations": {
"1":4,
"2":3,
"3":0,
"4":0}
}</v>
      </c>
      <c r="CS12" s="4">
        <v>4</v>
      </c>
      <c r="CT12" s="31" t="s">
        <v>3031</v>
      </c>
      <c r="CU12" s="4">
        <v>5</v>
      </c>
      <c r="CV12" s="4">
        <v>4</v>
      </c>
      <c r="CW12" s="4">
        <v>3</v>
      </c>
      <c r="CX12" s="4">
        <v>3</v>
      </c>
      <c r="CY12" s="4">
        <v>3</v>
      </c>
      <c r="CZ12" s="4">
        <v>2</v>
      </c>
      <c r="DA12" s="4">
        <v>0</v>
      </c>
      <c r="DB12" s="4">
        <v>0</v>
      </c>
      <c r="DC12" s="4">
        <v>0</v>
      </c>
      <c r="DD12" s="4">
        <v>0</v>
      </c>
      <c r="DE12" s="5" t="str">
        <f t="shared" si="8"/>
        <v>"MAGICIAN-10" : {
"Capacities":["Capacité de la tradition arcanique"],
"MinorSpellsNb": 5,
"Locations": {
"1":4,
"2":3,
"3":3,
"4":3,
"5":2,
"6":0,
"7":0,
"8":0,
"9":0}
}</v>
      </c>
      <c r="DF12" s="140">
        <v>4</v>
      </c>
      <c r="DG12" s="117" t="s">
        <v>166</v>
      </c>
      <c r="DH12" s="117">
        <v>10</v>
      </c>
      <c r="DI12" s="170">
        <v>6</v>
      </c>
      <c r="DJ12" s="170" t="s">
        <v>4074</v>
      </c>
      <c r="DK12" s="145" t="s">
        <v>3022</v>
      </c>
      <c r="DL12" s="128" t="str">
        <f t="shared" si="9"/>
        <v>"MONK-10" : {
"Capacities":["Pureté du corps"],
"Specials": 10,
"BonusAttack": "1d6",
"ArmourlessSpeed": 6,
"ArmourlessCategories": ["1_LIGHT", "2_MID", "3_HEAVY"]
}</v>
      </c>
      <c r="DM12" s="91">
        <v>4</v>
      </c>
      <c r="DN12" s="78" t="s">
        <v>6108</v>
      </c>
      <c r="DO12" s="91">
        <v>3</v>
      </c>
      <c r="DP12" s="91">
        <v>5</v>
      </c>
      <c r="DQ12" s="91">
        <v>64</v>
      </c>
      <c r="DR12" s="91">
        <v>7</v>
      </c>
      <c r="DS12" s="128" t="str">
        <f t="shared" si="14"/>
        <v>"MYSTICAL-10" : {
"Capacities":["Pouvoir dévorant"],
"Specials": 64,
"BonusAttack": 3
}</v>
      </c>
      <c r="DT12" s="133">
        <v>4</v>
      </c>
      <c r="DU12" s="31" t="s">
        <v>3012</v>
      </c>
      <c r="DV12" s="31">
        <v>5</v>
      </c>
      <c r="DW12" s="31" t="s">
        <v>3265</v>
      </c>
      <c r="DX12" s="4">
        <v>4</v>
      </c>
      <c r="DY12" s="4">
        <v>3</v>
      </c>
      <c r="DZ12" s="4">
        <v>2</v>
      </c>
      <c r="EA12" s="4">
        <v>0</v>
      </c>
      <c r="EB12" s="4">
        <v>0</v>
      </c>
      <c r="EC12" s="135" t="str">
        <f t="shared" si="10"/>
        <v>"PALADIN-10" : {
"Capacities":["Aura de courage"],
"SpellsNb": 5,
"SpellsNbBonus": "CHA",
"Locations": {
"1":4,
"2":3,
"3":2,
"4":0,
"5":0}
}</v>
      </c>
      <c r="ED12" s="4">
        <v>4</v>
      </c>
      <c r="EE12" s="31" t="s">
        <v>3003</v>
      </c>
      <c r="EF12" s="4">
        <v>6</v>
      </c>
      <c r="EG12" s="4">
        <v>4</v>
      </c>
      <c r="EH12" s="4">
        <v>3</v>
      </c>
      <c r="EI12" s="4">
        <v>2</v>
      </c>
      <c r="EJ12" s="4">
        <v>0</v>
      </c>
      <c r="EK12" s="4">
        <v>0</v>
      </c>
      <c r="EL12" s="5" t="str">
        <f t="shared" si="11"/>
        <v>"PROWLER-10" : {
"Capacities":["Amélioration de l'Explorateur-né", "Camouflage naturel"],
"SpellsNb":6,
"Locations": {
"1":4,
"2":3,
"3":2,
"4":0,
"5":0}
}</v>
      </c>
      <c r="EM12" s="133">
        <v>4</v>
      </c>
      <c r="EN12" s="4" t="s">
        <v>1003</v>
      </c>
      <c r="EO12" s="31" t="s">
        <v>2963</v>
      </c>
      <c r="EP12" s="91">
        <v>4</v>
      </c>
      <c r="EQ12" s="91">
        <v>7</v>
      </c>
      <c r="ER12" s="91">
        <v>4</v>
      </c>
      <c r="ES12" s="91">
        <v>3</v>
      </c>
      <c r="ET12" s="91">
        <v>0</v>
      </c>
      <c r="EU12" s="91">
        <v>0</v>
      </c>
      <c r="EV12" s="132" t="str">
        <f t="shared" si="12"/>
        <v>"WILY-10" : {
"Capacities":["Amélioration de caractéristiques"],
"BonusAttack": "5d6",
"MinorSpellsNb": 4,
"SpellsNb": 7,
"Locations": {
"1":4,
"2":3,
"3":0,
"4":0
}
}</v>
      </c>
      <c r="EW12" s="4">
        <v>4</v>
      </c>
      <c r="EX12" s="31" t="s">
        <v>2978</v>
      </c>
      <c r="EY12" s="4">
        <v>4</v>
      </c>
      <c r="EZ12" s="4">
        <v>10</v>
      </c>
      <c r="FA12" s="4">
        <v>2</v>
      </c>
      <c r="FB12" s="4">
        <v>5</v>
      </c>
      <c r="FC12" s="4">
        <v>5</v>
      </c>
      <c r="FD12" s="116" t="str">
        <f t="shared" si="13"/>
        <v>"WIZARD-10" : {
"Capacities":["Capacité de patron d'Outremonde"],
"MinorSpellsNb": 4,
"SpellsNb": 10,
"Locations": {"5":2},
"Invocations": 5
}</v>
      </c>
    </row>
    <row r="13" spans="1:160" ht="15" customHeight="1">
      <c r="A13" s="123">
        <v>11</v>
      </c>
      <c r="B13" s="90">
        <v>4</v>
      </c>
      <c r="C13" s="80" t="s">
        <v>5962</v>
      </c>
      <c r="D13" s="90">
        <v>8</v>
      </c>
      <c r="E13" s="90">
        <v>4</v>
      </c>
      <c r="F13" s="90">
        <v>3</v>
      </c>
      <c r="G13" s="90">
        <v>4</v>
      </c>
      <c r="H13" s="90">
        <v>3</v>
      </c>
      <c r="I13" s="90">
        <v>3</v>
      </c>
      <c r="J13" s="90">
        <v>0</v>
      </c>
      <c r="K13" s="90">
        <v>0</v>
      </c>
      <c r="L13" s="132" t="str">
        <f t="shared" si="0"/>
        <v>"ARTIFICER-11" : {
"Capacities":["Objet stockeur de sort"],
"MinorSpellsNb": 3,
"Locations": {
"1":4,
"2":3,
"3":3,
"4":0,
"5":0},
"Impregnation": 8,
"ImpregnatedObjects": 4
}</v>
      </c>
      <c r="M13" s="90">
        <v>4</v>
      </c>
      <c r="N13" s="80" t="s">
        <v>3056</v>
      </c>
      <c r="O13" s="90">
        <v>5</v>
      </c>
      <c r="P13" s="80">
        <v>4</v>
      </c>
      <c r="Q13" s="80">
        <v>3</v>
      </c>
      <c r="R13" s="80">
        <v>3</v>
      </c>
      <c r="S13" s="80">
        <v>3</v>
      </c>
      <c r="T13" s="80">
        <v>2</v>
      </c>
      <c r="U13" s="80">
        <v>1</v>
      </c>
      <c r="V13" s="80">
        <v>0</v>
      </c>
      <c r="W13" s="80">
        <v>0</v>
      </c>
      <c r="X13" s="80">
        <v>0</v>
      </c>
      <c r="Y13" s="80" t="str">
        <f t="shared" si="1"/>
        <v>"CLERK-11" : {
"Capacities":["Destruction des morts-vivants (FP 2)"],
"MinorSpellsNb": 5,
"Locations": {
"1":4,
"2":3,
"3":3,
"4":3,
"5":2,
"6":1,
"7":0,
"8":0,
"9":0}
}</v>
      </c>
      <c r="Z13" s="5">
        <v>4</v>
      </c>
      <c r="AA13" s="34" t="s">
        <v>2968</v>
      </c>
      <c r="AB13" s="5">
        <v>4</v>
      </c>
      <c r="AC13" s="5">
        <v>3</v>
      </c>
      <c r="AD13" s="169">
        <v>3</v>
      </c>
      <c r="AE13" s="169" t="s">
        <v>4072</v>
      </c>
      <c r="AF13" s="142" t="str">
        <f t="shared" si="2"/>
        <v>"BARBARIAN-11": {
"Capacities": ["Rage implacable"],
"Specials": 4,
"Damages": 3,
"ArmourlessSpeed": 3,
"ArmourlessCategories": ["3_HEAVY"]
}</v>
      </c>
      <c r="AG13" s="131">
        <v>4</v>
      </c>
      <c r="AH13" s="34"/>
      <c r="AI13" s="5">
        <v>4</v>
      </c>
      <c r="AJ13" s="5">
        <v>15</v>
      </c>
      <c r="AK13" s="34">
        <v>4</v>
      </c>
      <c r="AL13" s="34">
        <v>3</v>
      </c>
      <c r="AM13" s="34">
        <v>3</v>
      </c>
      <c r="AN13" s="34">
        <v>3</v>
      </c>
      <c r="AO13" s="34">
        <v>2</v>
      </c>
      <c r="AP13" s="34">
        <v>1</v>
      </c>
      <c r="AQ13" s="34">
        <v>0</v>
      </c>
      <c r="AR13" s="34">
        <v>0</v>
      </c>
      <c r="AS13" s="34">
        <v>0</v>
      </c>
      <c r="AT13" s="132" t="str">
        <f t="shared" si="3"/>
        <v>"BARD-11" : {
"Capacities":[],
"MinorSpellsNb": 4,
"SpellsNb": 15,
"Locations": {
"1":4,
"2":3,
"3":3,
"4":3,
"5":2,
"6":1,
"7":0,
"8":0,
"9":0}
}</v>
      </c>
      <c r="AU13" s="90">
        <v>4</v>
      </c>
      <c r="AV13" s="80" t="s">
        <v>3056</v>
      </c>
      <c r="AW13" s="90">
        <v>5</v>
      </c>
      <c r="AX13" s="80">
        <v>4</v>
      </c>
      <c r="AY13" s="80">
        <v>3</v>
      </c>
      <c r="AZ13" s="80">
        <v>3</v>
      </c>
      <c r="BA13" s="80">
        <v>3</v>
      </c>
      <c r="BB13" s="80">
        <v>2</v>
      </c>
      <c r="BC13" s="80">
        <v>1</v>
      </c>
      <c r="BD13" s="80">
        <v>0</v>
      </c>
      <c r="BE13" s="80">
        <v>0</v>
      </c>
      <c r="BF13" s="80">
        <v>0</v>
      </c>
      <c r="BG13" s="80" t="str">
        <f t="shared" si="4"/>
        <v>"CLERK-11" : {
"Capacities":["Destruction des morts-vivants (FP 2)"],
"MinorSpellsNb": 5,
"Locations": {
"1":4,
"2":3,
"3":3,
"4":3,
"5":2,
"6":1,
"7":0,
"8":0,
"9":0}
}</v>
      </c>
      <c r="BH13" s="131">
        <v>4</v>
      </c>
      <c r="BI13" s="34"/>
      <c r="BJ13" s="5">
        <v>4</v>
      </c>
      <c r="BK13" s="34">
        <v>4</v>
      </c>
      <c r="BL13" s="34">
        <v>3</v>
      </c>
      <c r="BM13" s="34">
        <v>3</v>
      </c>
      <c r="BN13" s="34">
        <v>3</v>
      </c>
      <c r="BO13" s="34">
        <v>2</v>
      </c>
      <c r="BP13" s="34">
        <v>1</v>
      </c>
      <c r="BQ13" s="34">
        <v>0</v>
      </c>
      <c r="BR13" s="34">
        <v>0</v>
      </c>
      <c r="BS13" s="34">
        <v>0</v>
      </c>
      <c r="BT13" s="132" t="str">
        <f t="shared" si="5"/>
        <v>"DRUID-11" : {
"Capacities":[],
"MinorSpellsNb": 4,
"Locations": {
"1":4,
"2":3,
"3":3,
"4":3,
"5":2,
"6":1,
"7":0,
"8":0,
"9":0}
}</v>
      </c>
      <c r="BU13" s="5">
        <v>4</v>
      </c>
      <c r="BV13" s="5">
        <v>11</v>
      </c>
      <c r="BW13" s="34"/>
      <c r="BX13" s="5">
        <v>6</v>
      </c>
      <c r="BY13" s="5">
        <v>12</v>
      </c>
      <c r="BZ13" s="34">
        <v>4</v>
      </c>
      <c r="CA13" s="34">
        <v>3</v>
      </c>
      <c r="CB13" s="34">
        <v>3</v>
      </c>
      <c r="CC13" s="34">
        <v>3</v>
      </c>
      <c r="CD13" s="34">
        <v>2</v>
      </c>
      <c r="CE13" s="34">
        <v>1</v>
      </c>
      <c r="CF13" s="34">
        <v>0</v>
      </c>
      <c r="CG13" s="34">
        <v>0</v>
      </c>
      <c r="CH13" s="34">
        <v>0</v>
      </c>
      <c r="CI13" s="34" t="str">
        <f t="shared" si="6"/>
        <v>"SORCERER-11" : {
"Capacities":[],
"MinorSpellsNb": 6,
"SpellsNb": 12,
"Specials": 11,
"Locations": {
"1":4,
"2":3,
"3":3,
"4":3,
"5":2,
"6":1,
"7":0,
"8":0,
"9":0}
}</v>
      </c>
      <c r="CJ13" s="131">
        <v>4</v>
      </c>
      <c r="CK13" s="34" t="s">
        <v>3038</v>
      </c>
      <c r="CL13" s="90">
        <v>3</v>
      </c>
      <c r="CM13" s="90">
        <v>8</v>
      </c>
      <c r="CN13" s="90">
        <v>4</v>
      </c>
      <c r="CO13" s="90">
        <v>3</v>
      </c>
      <c r="CP13" s="90">
        <v>0</v>
      </c>
      <c r="CQ13" s="90">
        <v>0</v>
      </c>
      <c r="CR13" s="132" t="str">
        <f t="shared" si="7"/>
        <v>"WARRIOR-11" : {
"Capacities":["Attaque supplémentaire (2)"],
"MinorSpellsNb": 3,
"SpellsNb": 8,
"Locations": {
"1":4,
"2":3,
"3":0,
"4":0}
}</v>
      </c>
      <c r="CS13" s="5">
        <v>4</v>
      </c>
      <c r="CT13" s="34"/>
      <c r="CU13" s="5">
        <v>5</v>
      </c>
      <c r="CV13" s="5">
        <v>4</v>
      </c>
      <c r="CW13" s="5">
        <v>3</v>
      </c>
      <c r="CX13" s="5">
        <v>3</v>
      </c>
      <c r="CY13" s="5">
        <v>3</v>
      </c>
      <c r="CZ13" s="5">
        <v>2</v>
      </c>
      <c r="DA13" s="5">
        <v>1</v>
      </c>
      <c r="DB13" s="5">
        <v>0</v>
      </c>
      <c r="DC13" s="5">
        <v>0</v>
      </c>
      <c r="DD13" s="5">
        <v>0</v>
      </c>
      <c r="DE13" s="5" t="str">
        <f t="shared" si="8"/>
        <v>"MAGICIAN-11" : {
"Capacities":[],
"MinorSpellsNb": 5,
"Locations": {
"1":4,
"2":3,
"3":3,
"4":3,
"5":2,
"6":1,
"7":0,
"8":0,
"9":0}
}</v>
      </c>
      <c r="DF13" s="139">
        <v>4</v>
      </c>
      <c r="DG13" s="115" t="s">
        <v>169</v>
      </c>
      <c r="DH13" s="115">
        <v>11</v>
      </c>
      <c r="DI13" s="169">
        <v>6</v>
      </c>
      <c r="DJ13" s="169" t="s">
        <v>4074</v>
      </c>
      <c r="DK13" s="144" t="s">
        <v>3023</v>
      </c>
      <c r="DL13" s="128" t="str">
        <f t="shared" si="9"/>
        <v>"MONK-11" : {
"Capacities":["Capacité de la tradition monastique"],
"Specials": 11,
"BonusAttack": "1d8",
"ArmourlessSpeed": 6,
"ArmourlessCategories": ["1_LIGHT", "2_MID", "3_HEAVY"]
}</v>
      </c>
      <c r="DM13" s="90">
        <v>4</v>
      </c>
      <c r="DN13" s="80" t="s">
        <v>6109</v>
      </c>
      <c r="DO13" s="90">
        <v>3</v>
      </c>
      <c r="DP13" s="90">
        <v>5</v>
      </c>
      <c r="DQ13" s="90">
        <v>64</v>
      </c>
      <c r="DR13" s="90">
        <v>7</v>
      </c>
      <c r="DS13" s="128" t="str">
        <f t="shared" si="14"/>
        <v>"MYSTICAL-11" : {
"Capacities":["Maîtrise psionique"],
"Specials": 64,
"BonusAttack": 3
}</v>
      </c>
      <c r="DT13" s="131">
        <v>4</v>
      </c>
      <c r="DU13" s="34" t="s">
        <v>3013</v>
      </c>
      <c r="DV13" s="34">
        <v>5</v>
      </c>
      <c r="DW13" s="34" t="s">
        <v>3265</v>
      </c>
      <c r="DX13" s="5">
        <v>4</v>
      </c>
      <c r="DY13" s="5">
        <v>3</v>
      </c>
      <c r="DZ13" s="5">
        <v>3</v>
      </c>
      <c r="EA13" s="5">
        <v>0</v>
      </c>
      <c r="EB13" s="5">
        <v>0</v>
      </c>
      <c r="EC13" s="135" t="str">
        <f t="shared" si="10"/>
        <v>"PALADIN-11" : {
"Capacities":["Châtiment divin amélioré"],
"SpellsNb": 5,
"SpellsNbBonus": "CHA",
"Locations": {
"1":4,
"2":3,
"3":3,
"4":0,
"5":0}
}</v>
      </c>
      <c r="ED13" s="5">
        <v>4</v>
      </c>
      <c r="EE13" s="34" t="s">
        <v>3001</v>
      </c>
      <c r="EF13" s="5">
        <v>7</v>
      </c>
      <c r="EG13" s="5">
        <v>4</v>
      </c>
      <c r="EH13" s="5">
        <v>3</v>
      </c>
      <c r="EI13" s="5">
        <v>3</v>
      </c>
      <c r="EJ13" s="5">
        <v>0</v>
      </c>
      <c r="EK13" s="5">
        <v>0</v>
      </c>
      <c r="EL13" s="5" t="str">
        <f t="shared" si="11"/>
        <v>"PROWLER-11" : {
"Capacities":["Capacité de l'archétype de rôdeur"],
"SpellsNb":7,
"Locations": {
"1":4,
"2":3,
"3":3,
"4":0,
"5":0}
}</v>
      </c>
      <c r="EM13" s="131">
        <v>4</v>
      </c>
      <c r="EN13" s="5" t="s">
        <v>1004</v>
      </c>
      <c r="EO13" s="34" t="s">
        <v>2991</v>
      </c>
      <c r="EP13" s="90">
        <v>4</v>
      </c>
      <c r="EQ13" s="90">
        <v>8</v>
      </c>
      <c r="ER13" s="90">
        <v>4</v>
      </c>
      <c r="ES13" s="90">
        <v>3</v>
      </c>
      <c r="ET13" s="90">
        <v>0</v>
      </c>
      <c r="EU13" s="90">
        <v>0</v>
      </c>
      <c r="EV13" s="132" t="str">
        <f t="shared" si="12"/>
        <v>"WILY-11" : {
"Capacities":["Talent"],
"BonusAttack": "6d6",
"MinorSpellsNb": 4,
"SpellsNb": 8,
"Locations": {
"1":4,
"2":3,
"3":0,
"4":0
}
}</v>
      </c>
      <c r="EW13" s="5">
        <v>4</v>
      </c>
      <c r="EX13" s="34" t="s">
        <v>2979</v>
      </c>
      <c r="EY13" s="5">
        <v>4</v>
      </c>
      <c r="EZ13" s="5">
        <v>11</v>
      </c>
      <c r="FA13" s="5">
        <v>3</v>
      </c>
      <c r="FB13" s="5">
        <v>5</v>
      </c>
      <c r="FC13" s="5">
        <v>5</v>
      </c>
      <c r="FD13" s="116" t="str">
        <f t="shared" si="13"/>
        <v>"WIZARD-11" : {
"Capacities":["Arcanum mystique (niveau 6)"],
"MinorSpellsNb": 4,
"SpellsNb": 11,
"Locations": {"5":3},
"Invocations": 5
}</v>
      </c>
    </row>
    <row r="14" spans="1:160" ht="15" customHeight="1">
      <c r="A14" s="124">
        <v>12</v>
      </c>
      <c r="B14" s="91">
        <v>4</v>
      </c>
      <c r="C14" s="78" t="s">
        <v>2963</v>
      </c>
      <c r="D14" s="91">
        <v>8</v>
      </c>
      <c r="E14" s="91">
        <v>4</v>
      </c>
      <c r="F14" s="91">
        <v>3</v>
      </c>
      <c r="G14" s="91">
        <v>4</v>
      </c>
      <c r="H14" s="91">
        <v>3</v>
      </c>
      <c r="I14" s="91">
        <v>3</v>
      </c>
      <c r="J14" s="91">
        <v>0</v>
      </c>
      <c r="K14" s="91">
        <v>0</v>
      </c>
      <c r="L14" s="132" t="str">
        <f t="shared" si="0"/>
        <v>"ARTIFICER-12" : {
"Capacities":["Amélioration de caractéristiques"],
"MinorSpellsNb": 3,
"Locations": {
"1":4,
"2":3,
"3":3,
"4":0,
"5":0},
"Impregnation": 8,
"ImpregnatedObjects": 4
}</v>
      </c>
      <c r="M14" s="91">
        <v>4</v>
      </c>
      <c r="N14" s="78" t="s">
        <v>2963</v>
      </c>
      <c r="O14" s="91">
        <v>5</v>
      </c>
      <c r="P14" s="78">
        <v>4</v>
      </c>
      <c r="Q14" s="78">
        <v>3</v>
      </c>
      <c r="R14" s="78">
        <v>3</v>
      </c>
      <c r="S14" s="78">
        <v>3</v>
      </c>
      <c r="T14" s="78">
        <v>2</v>
      </c>
      <c r="U14" s="78">
        <v>1</v>
      </c>
      <c r="V14" s="78">
        <v>0</v>
      </c>
      <c r="W14" s="78">
        <v>0</v>
      </c>
      <c r="X14" s="78">
        <v>0</v>
      </c>
      <c r="Y14" s="80" t="str">
        <f t="shared" si="1"/>
        <v>"CLERK-12" : {
"Capacities":["Amélioration de caractéristiques"],
"MinorSpellsNb": 5,
"Locations": {
"1":4,
"2":3,
"3":3,
"4":3,
"5":2,
"6":1,
"7":0,
"8":0,
"9":0}
}</v>
      </c>
      <c r="Z14" s="4">
        <v>4</v>
      </c>
      <c r="AA14" s="31" t="s">
        <v>2963</v>
      </c>
      <c r="AB14" s="4">
        <v>5</v>
      </c>
      <c r="AC14" s="4">
        <v>3</v>
      </c>
      <c r="AD14" s="170">
        <v>3</v>
      </c>
      <c r="AE14" s="170" t="s">
        <v>4072</v>
      </c>
      <c r="AF14" s="142" t="str">
        <f t="shared" si="2"/>
        <v>"BARBARIAN-12": {
"Capacities": ["Amélioration de caractéristiques"],
"Specials": 5,
"Damages": 3,
"ArmourlessSpeed": 3,
"ArmourlessCategories": ["3_HEAVY"]
}</v>
      </c>
      <c r="AG14" s="133">
        <v>4</v>
      </c>
      <c r="AH14" s="31" t="s">
        <v>2963</v>
      </c>
      <c r="AI14" s="4">
        <v>4</v>
      </c>
      <c r="AJ14" s="4">
        <v>15</v>
      </c>
      <c r="AK14" s="31">
        <v>4</v>
      </c>
      <c r="AL14" s="31">
        <v>3</v>
      </c>
      <c r="AM14" s="31">
        <v>3</v>
      </c>
      <c r="AN14" s="31">
        <v>3</v>
      </c>
      <c r="AO14" s="31">
        <v>2</v>
      </c>
      <c r="AP14" s="31">
        <v>1</v>
      </c>
      <c r="AQ14" s="31">
        <v>0</v>
      </c>
      <c r="AR14" s="31">
        <v>0</v>
      </c>
      <c r="AS14" s="31">
        <v>0</v>
      </c>
      <c r="AT14" s="132" t="str">
        <f t="shared" si="3"/>
        <v>"BARD-12" : {
"Capacities":["Amélioration de caractéristiques"],
"MinorSpellsNb": 4,
"SpellsNb": 15,
"Locations": {
"1":4,
"2":3,
"3":3,
"4":3,
"5":2,
"6":1,
"7":0,
"8":0,
"9":0}
}</v>
      </c>
      <c r="AU14" s="91">
        <v>4</v>
      </c>
      <c r="AV14" s="78" t="s">
        <v>2963</v>
      </c>
      <c r="AW14" s="91">
        <v>5</v>
      </c>
      <c r="AX14" s="78">
        <v>4</v>
      </c>
      <c r="AY14" s="78">
        <v>3</v>
      </c>
      <c r="AZ14" s="78">
        <v>3</v>
      </c>
      <c r="BA14" s="78">
        <v>3</v>
      </c>
      <c r="BB14" s="78">
        <v>2</v>
      </c>
      <c r="BC14" s="78">
        <v>1</v>
      </c>
      <c r="BD14" s="78">
        <v>0</v>
      </c>
      <c r="BE14" s="78">
        <v>0</v>
      </c>
      <c r="BF14" s="78">
        <v>0</v>
      </c>
      <c r="BG14" s="80" t="str">
        <f t="shared" si="4"/>
        <v>"CLERK-12" : {
"Capacities":["Amélioration de caractéristiques"],
"MinorSpellsNb": 5,
"Locations": {
"1":4,
"2":3,
"3":3,
"4":3,
"5":2,
"6":1,
"7":0,
"8":0,
"9":0}
}</v>
      </c>
      <c r="BH14" s="133">
        <v>4</v>
      </c>
      <c r="BI14" s="31" t="s">
        <v>2963</v>
      </c>
      <c r="BJ14" s="4">
        <v>4</v>
      </c>
      <c r="BK14" s="31">
        <v>4</v>
      </c>
      <c r="BL14" s="31">
        <v>3</v>
      </c>
      <c r="BM14" s="31">
        <v>3</v>
      </c>
      <c r="BN14" s="31">
        <v>3</v>
      </c>
      <c r="BO14" s="31">
        <v>2</v>
      </c>
      <c r="BP14" s="31">
        <v>1</v>
      </c>
      <c r="BQ14" s="31">
        <v>0</v>
      </c>
      <c r="BR14" s="31">
        <v>0</v>
      </c>
      <c r="BS14" s="31">
        <v>0</v>
      </c>
      <c r="BT14" s="132" t="str">
        <f t="shared" si="5"/>
        <v>"DRUID-12" : {
"Capacities":["Amélioration de caractéristiques"],
"MinorSpellsNb": 4,
"Locations": {
"1":4,
"2":3,
"3":3,
"4":3,
"5":2,
"6":1,
"7":0,
"8":0,
"9":0}
}</v>
      </c>
      <c r="BU14" s="4">
        <v>4</v>
      </c>
      <c r="BV14" s="4">
        <v>12</v>
      </c>
      <c r="BW14" s="31" t="s">
        <v>2963</v>
      </c>
      <c r="BX14" s="4">
        <v>6</v>
      </c>
      <c r="BY14" s="4">
        <v>12</v>
      </c>
      <c r="BZ14" s="31">
        <v>4</v>
      </c>
      <c r="CA14" s="31">
        <v>3</v>
      </c>
      <c r="CB14" s="31">
        <v>3</v>
      </c>
      <c r="CC14" s="31">
        <v>3</v>
      </c>
      <c r="CD14" s="31">
        <v>2</v>
      </c>
      <c r="CE14" s="31">
        <v>1</v>
      </c>
      <c r="CF14" s="31">
        <v>0</v>
      </c>
      <c r="CG14" s="31">
        <v>0</v>
      </c>
      <c r="CH14" s="31">
        <v>0</v>
      </c>
      <c r="CI14" s="34" t="str">
        <f t="shared" si="6"/>
        <v>"SORCERER-12" : {
"Capacities":["Amélioration de caractéristiques"],
"MinorSpellsNb": 6,
"SpellsNb": 12,
"Specials": 12,
"Locations": {
"1":4,
"2":3,
"3":3,
"4":3,
"5":2,
"6":1,
"7":0,
"8":0,
"9":0}
}</v>
      </c>
      <c r="CJ14" s="133">
        <v>4</v>
      </c>
      <c r="CK14" s="31" t="s">
        <v>2963</v>
      </c>
      <c r="CL14" s="91">
        <v>3</v>
      </c>
      <c r="CM14" s="91">
        <v>8</v>
      </c>
      <c r="CN14" s="91">
        <v>4</v>
      </c>
      <c r="CO14" s="91">
        <v>3</v>
      </c>
      <c r="CP14" s="91">
        <v>0</v>
      </c>
      <c r="CQ14" s="91">
        <v>0</v>
      </c>
      <c r="CR14" s="132" t="str">
        <f t="shared" si="7"/>
        <v>"WARRIOR-12" : {
"Capacities":["Amélioration de caractéristiques"],
"MinorSpellsNb": 3,
"SpellsNb": 8,
"Locations": {
"1":4,
"2":3,
"3":0,
"4":0}
}</v>
      </c>
      <c r="CS14" s="4">
        <v>4</v>
      </c>
      <c r="CT14" s="31" t="s">
        <v>2963</v>
      </c>
      <c r="CU14" s="4">
        <v>5</v>
      </c>
      <c r="CV14" s="4">
        <v>4</v>
      </c>
      <c r="CW14" s="4">
        <v>3</v>
      </c>
      <c r="CX14" s="4">
        <v>3</v>
      </c>
      <c r="CY14" s="4">
        <v>3</v>
      </c>
      <c r="CZ14" s="4">
        <v>2</v>
      </c>
      <c r="DA14" s="4">
        <v>1</v>
      </c>
      <c r="DB14" s="4">
        <v>0</v>
      </c>
      <c r="DC14" s="4">
        <v>0</v>
      </c>
      <c r="DD14" s="4">
        <v>0</v>
      </c>
      <c r="DE14" s="5" t="str">
        <f t="shared" si="8"/>
        <v>"MAGICIAN-12" : {
"Capacities":["Amélioration de caractéristiques"],
"MinorSpellsNb": 5,
"Locations": {
"1":4,
"2":3,
"3":3,
"4":3,
"5":2,
"6":1,
"7":0,
"8":0,
"9":0}
}</v>
      </c>
      <c r="DF14" s="140">
        <v>4</v>
      </c>
      <c r="DG14" s="117" t="s">
        <v>169</v>
      </c>
      <c r="DH14" s="117">
        <v>12</v>
      </c>
      <c r="DI14" s="170">
        <v>6</v>
      </c>
      <c r="DJ14" s="170" t="s">
        <v>4074</v>
      </c>
      <c r="DK14" s="145" t="s">
        <v>2963</v>
      </c>
      <c r="DL14" s="128" t="str">
        <f t="shared" si="9"/>
        <v>"MONK-12" : {
"Capacities":["Amélioration de caractéristiques"],
"Specials": 12,
"BonusAttack": "1d8",
"ArmourlessSpeed": 6,
"ArmourlessCategories": ["1_LIGHT", "2_MID", "3_HEAVY"]
}</v>
      </c>
      <c r="DM14" s="91">
        <v>4</v>
      </c>
      <c r="DN14" s="78" t="s">
        <v>2963</v>
      </c>
      <c r="DO14" s="91">
        <v>3</v>
      </c>
      <c r="DP14" s="91">
        <v>6</v>
      </c>
      <c r="DQ14" s="91">
        <v>64</v>
      </c>
      <c r="DR14" s="91">
        <v>7</v>
      </c>
      <c r="DS14" s="128" t="str">
        <f t="shared" si="14"/>
        <v>"MYSTICAL-12" : {
"Capacities":["Amélioration de caractéristiques"],
"Specials": 64,
"BonusAttack": 3
}</v>
      </c>
      <c r="DT14" s="133">
        <v>4</v>
      </c>
      <c r="DU14" s="31" t="s">
        <v>2963</v>
      </c>
      <c r="DV14" s="31">
        <v>6</v>
      </c>
      <c r="DW14" s="31" t="s">
        <v>3265</v>
      </c>
      <c r="DX14" s="4">
        <v>4</v>
      </c>
      <c r="DY14" s="4">
        <v>3</v>
      </c>
      <c r="DZ14" s="4">
        <v>3</v>
      </c>
      <c r="EA14" s="4">
        <v>0</v>
      </c>
      <c r="EB14" s="4">
        <v>0</v>
      </c>
      <c r="EC14" s="135" t="str">
        <f t="shared" si="10"/>
        <v>"PALADIN-12" : {
"Capacities":["Amélioration de caractéristiques"],
"SpellsNb": 6,
"SpellsNbBonus": "CHA",
"Locations": {
"1":4,
"2":3,
"3":3,
"4":0,
"5":0}
}</v>
      </c>
      <c r="ED14" s="4">
        <v>4</v>
      </c>
      <c r="EE14" s="31" t="s">
        <v>2963</v>
      </c>
      <c r="EF14" s="4">
        <v>7</v>
      </c>
      <c r="EG14" s="4">
        <v>4</v>
      </c>
      <c r="EH14" s="4">
        <v>3</v>
      </c>
      <c r="EI14" s="4">
        <v>3</v>
      </c>
      <c r="EJ14" s="4">
        <v>0</v>
      </c>
      <c r="EK14" s="4">
        <v>0</v>
      </c>
      <c r="EL14" s="5" t="str">
        <f t="shared" si="11"/>
        <v>"PROWLER-12" : {
"Capacities":["Amélioration de caractéristiques"],
"SpellsNb":7,
"Locations": {
"1":4,
"2":3,
"3":3,
"4":0,
"5":0}
}</v>
      </c>
      <c r="EM14" s="133">
        <v>4</v>
      </c>
      <c r="EN14" s="4" t="s">
        <v>1004</v>
      </c>
      <c r="EO14" s="31" t="s">
        <v>2963</v>
      </c>
      <c r="EP14" s="91">
        <v>4</v>
      </c>
      <c r="EQ14" s="91">
        <v>8</v>
      </c>
      <c r="ER14" s="91">
        <v>4</v>
      </c>
      <c r="ES14" s="91">
        <v>3</v>
      </c>
      <c r="ET14" s="91">
        <v>0</v>
      </c>
      <c r="EU14" s="91">
        <v>0</v>
      </c>
      <c r="EV14" s="132" t="str">
        <f t="shared" si="12"/>
        <v>"WILY-12" : {
"Capacities":["Amélioration de caractéristiques"],
"BonusAttack": "6d6",
"MinorSpellsNb": 4,
"SpellsNb": 8,
"Locations": {
"1":4,
"2":3,
"3":0,
"4":0
}
}</v>
      </c>
      <c r="EW14" s="4">
        <v>4</v>
      </c>
      <c r="EX14" s="31" t="s">
        <v>2963</v>
      </c>
      <c r="EY14" s="4">
        <v>4</v>
      </c>
      <c r="EZ14" s="4">
        <v>11</v>
      </c>
      <c r="FA14" s="4">
        <v>3</v>
      </c>
      <c r="FB14" s="4">
        <v>5</v>
      </c>
      <c r="FC14" s="4">
        <v>6</v>
      </c>
      <c r="FD14" s="116" t="str">
        <f t="shared" si="13"/>
        <v>"WIZARD-12" : {
"Capacities":["Amélioration de caractéristiques"],
"MinorSpellsNb": 4,
"SpellsNb": 11,
"Locations": {"5":3},
"Invocations": 6
}</v>
      </c>
    </row>
    <row r="15" spans="1:160" ht="15" customHeight="1">
      <c r="A15" s="123">
        <v>13</v>
      </c>
      <c r="B15" s="90">
        <v>5</v>
      </c>
      <c r="C15" s="80"/>
      <c r="D15" s="90">
        <v>8</v>
      </c>
      <c r="E15" s="90">
        <v>4</v>
      </c>
      <c r="F15" s="90">
        <v>3</v>
      </c>
      <c r="G15" s="90">
        <v>4</v>
      </c>
      <c r="H15" s="90">
        <v>3</v>
      </c>
      <c r="I15" s="90">
        <v>3</v>
      </c>
      <c r="J15" s="90">
        <v>1</v>
      </c>
      <c r="K15" s="90">
        <v>0</v>
      </c>
      <c r="L15" s="132" t="str">
        <f t="shared" si="0"/>
        <v>"ARTIFICER-13" : {
"Capacities":[],
"MinorSpellsNb": 3,
"Locations": {
"1":4,
"2":3,
"3":3,
"4":1,
"5":0},
"Impregnation": 8,
"ImpregnatedObjects": 4
}</v>
      </c>
      <c r="M15" s="90">
        <v>5</v>
      </c>
      <c r="N15" s="80"/>
      <c r="O15" s="90">
        <v>5</v>
      </c>
      <c r="P15" s="80">
        <v>4</v>
      </c>
      <c r="Q15" s="80">
        <v>3</v>
      </c>
      <c r="R15" s="80">
        <v>3</v>
      </c>
      <c r="S15" s="80">
        <v>3</v>
      </c>
      <c r="T15" s="80">
        <v>2</v>
      </c>
      <c r="U15" s="80">
        <v>1</v>
      </c>
      <c r="V15" s="80">
        <v>1</v>
      </c>
      <c r="W15" s="80">
        <v>0</v>
      </c>
      <c r="X15" s="80">
        <v>0</v>
      </c>
      <c r="Y15" s="80" t="str">
        <f t="shared" si="1"/>
        <v>"CLERK-13" : {
"Capacities":[],
"MinorSpellsNb": 5,
"Locations": {
"1":4,
"2":3,
"3":3,
"4":3,
"5":2,
"6":1,
"7":1,
"8":0,
"9":0}
}</v>
      </c>
      <c r="Z15" s="5">
        <v>5</v>
      </c>
      <c r="AA15" s="34" t="s">
        <v>2969</v>
      </c>
      <c r="AB15" s="5">
        <v>5</v>
      </c>
      <c r="AC15" s="5">
        <v>3</v>
      </c>
      <c r="AD15" s="169">
        <v>3</v>
      </c>
      <c r="AE15" s="169" t="s">
        <v>4072</v>
      </c>
      <c r="AF15" s="142" t="str">
        <f t="shared" si="2"/>
        <v>"BARBARIAN-13": {
"Capacities": ["Critique brutal (2 dés)"],
"Specials": 5,
"Damages": 3,
"ArmourlessSpeed": 3,
"ArmourlessCategories": ["3_HEAVY"]
}</v>
      </c>
      <c r="AG15" s="131">
        <v>5</v>
      </c>
      <c r="AH15" s="34" t="s">
        <v>3065</v>
      </c>
      <c r="AI15" s="5">
        <v>4</v>
      </c>
      <c r="AJ15" s="5">
        <v>16</v>
      </c>
      <c r="AK15" s="34">
        <v>4</v>
      </c>
      <c r="AL15" s="34">
        <v>3</v>
      </c>
      <c r="AM15" s="34">
        <v>3</v>
      </c>
      <c r="AN15" s="34">
        <v>3</v>
      </c>
      <c r="AO15" s="34">
        <v>2</v>
      </c>
      <c r="AP15" s="34">
        <v>1</v>
      </c>
      <c r="AQ15" s="34">
        <v>1</v>
      </c>
      <c r="AR15" s="34">
        <v>0</v>
      </c>
      <c r="AS15" s="34">
        <v>0</v>
      </c>
      <c r="AT15" s="132" t="str">
        <f t="shared" si="3"/>
        <v>"BARD-13" : {
"Capacities":["Chant de repos (d10)"],
"MinorSpellsNb": 4,
"SpellsNb": 16,
"Locations": {
"1":4,
"2":3,
"3":3,
"4":3,
"5":2,
"6":1,
"7":1,
"8":0,
"9":0}
}</v>
      </c>
      <c r="AU15" s="90">
        <v>5</v>
      </c>
      <c r="AV15" s="80"/>
      <c r="AW15" s="90">
        <v>5</v>
      </c>
      <c r="AX15" s="80">
        <v>4</v>
      </c>
      <c r="AY15" s="80">
        <v>3</v>
      </c>
      <c r="AZ15" s="80">
        <v>3</v>
      </c>
      <c r="BA15" s="80">
        <v>3</v>
      </c>
      <c r="BB15" s="80">
        <v>2</v>
      </c>
      <c r="BC15" s="80">
        <v>1</v>
      </c>
      <c r="BD15" s="80">
        <v>1</v>
      </c>
      <c r="BE15" s="80">
        <v>0</v>
      </c>
      <c r="BF15" s="80">
        <v>0</v>
      </c>
      <c r="BG15" s="80" t="str">
        <f t="shared" si="4"/>
        <v>"CLERK-13" : {
"Capacities":[],
"MinorSpellsNb": 5,
"Locations": {
"1":4,
"2":3,
"3":3,
"4":3,
"5":2,
"6":1,
"7":1,
"8":0,
"9":0}
}</v>
      </c>
      <c r="BH15" s="131">
        <v>5</v>
      </c>
      <c r="BI15" s="34"/>
      <c r="BJ15" s="5">
        <v>4</v>
      </c>
      <c r="BK15" s="34">
        <v>4</v>
      </c>
      <c r="BL15" s="34">
        <v>3</v>
      </c>
      <c r="BM15" s="34">
        <v>3</v>
      </c>
      <c r="BN15" s="34">
        <v>3</v>
      </c>
      <c r="BO15" s="34">
        <v>2</v>
      </c>
      <c r="BP15" s="34">
        <v>1</v>
      </c>
      <c r="BQ15" s="34">
        <v>1</v>
      </c>
      <c r="BR15" s="34">
        <v>0</v>
      </c>
      <c r="BS15" s="34">
        <v>0</v>
      </c>
      <c r="BT15" s="132" t="str">
        <f t="shared" si="5"/>
        <v>"DRUID-13" : {
"Capacities":[],
"MinorSpellsNb": 4,
"Locations": {
"1":4,
"2":3,
"3":3,
"4":3,
"5":2,
"6":1,
"7":1,
"8":0,
"9":0}
}</v>
      </c>
      <c r="BU15" s="5">
        <v>5</v>
      </c>
      <c r="BV15" s="5">
        <v>13</v>
      </c>
      <c r="BW15" s="34"/>
      <c r="BX15" s="5">
        <v>6</v>
      </c>
      <c r="BY15" s="5">
        <v>13</v>
      </c>
      <c r="BZ15" s="34">
        <v>4</v>
      </c>
      <c r="CA15" s="34">
        <v>3</v>
      </c>
      <c r="CB15" s="34">
        <v>3</v>
      </c>
      <c r="CC15" s="34">
        <v>3</v>
      </c>
      <c r="CD15" s="34">
        <v>2</v>
      </c>
      <c r="CE15" s="34">
        <v>1</v>
      </c>
      <c r="CF15" s="34">
        <v>1</v>
      </c>
      <c r="CG15" s="34">
        <v>0</v>
      </c>
      <c r="CH15" s="34">
        <v>0</v>
      </c>
      <c r="CI15" s="34" t="str">
        <f t="shared" si="6"/>
        <v>"SORCERER-13" : {
"Capacities":[],
"MinorSpellsNb": 6,
"SpellsNb": 13,
"Specials": 13,
"Locations": {
"1":4,
"2":3,
"3":3,
"4":3,
"5":2,
"6":1,
"7":1,
"8":0,
"9":0}
}</v>
      </c>
      <c r="CJ15" s="131">
        <v>5</v>
      </c>
      <c r="CK15" s="34"/>
      <c r="CL15" s="90">
        <v>3</v>
      </c>
      <c r="CM15" s="90">
        <v>9</v>
      </c>
      <c r="CN15" s="90">
        <v>4</v>
      </c>
      <c r="CO15" s="90">
        <v>3</v>
      </c>
      <c r="CP15" s="90">
        <v>2</v>
      </c>
      <c r="CQ15" s="90">
        <v>0</v>
      </c>
      <c r="CR15" s="132" t="str">
        <f t="shared" si="7"/>
        <v>"WARRIOR-13" : {
"Capacities":[],
"MinorSpellsNb": 3,
"SpellsNb": 9,
"Locations": {
"1":4,
"2":3,
"3":2,
"4":0}
}</v>
      </c>
      <c r="CS15" s="5">
        <v>5</v>
      </c>
      <c r="CT15" s="34"/>
      <c r="CU15" s="5">
        <v>5</v>
      </c>
      <c r="CV15" s="5">
        <v>4</v>
      </c>
      <c r="CW15" s="5">
        <v>3</v>
      </c>
      <c r="CX15" s="5">
        <v>3</v>
      </c>
      <c r="CY15" s="5">
        <v>3</v>
      </c>
      <c r="CZ15" s="5">
        <v>2</v>
      </c>
      <c r="DA15" s="5">
        <v>1</v>
      </c>
      <c r="DB15" s="5">
        <v>1</v>
      </c>
      <c r="DC15" s="5">
        <v>0</v>
      </c>
      <c r="DD15" s="5">
        <v>0</v>
      </c>
      <c r="DE15" s="5" t="str">
        <f t="shared" si="8"/>
        <v>"MAGICIAN-13" : {
"Capacities":[],
"MinorSpellsNb": 5,
"Locations": {
"1":4,
"2":3,
"3":3,
"4":3,
"5":2,
"6":1,
"7":1,
"8":0,
"9":0}
}</v>
      </c>
      <c r="DF15" s="139">
        <v>5</v>
      </c>
      <c r="DG15" s="115" t="s">
        <v>169</v>
      </c>
      <c r="DH15" s="115">
        <v>13</v>
      </c>
      <c r="DI15" s="169">
        <v>6</v>
      </c>
      <c r="DJ15" s="169" t="s">
        <v>4074</v>
      </c>
      <c r="DK15" s="144" t="s">
        <v>3024</v>
      </c>
      <c r="DL15" s="128" t="str">
        <f t="shared" si="9"/>
        <v>"MONK-13" : {
"Capacities":["Langage du soleil et de la lune"],
"Specials": 13,
"BonusAttack": "1d8",
"ArmourlessSpeed": 6,
"ArmourlessCategories": ["1_LIGHT", "2_MID", "3_HEAVY"]
}</v>
      </c>
      <c r="DM15" s="90">
        <v>5</v>
      </c>
      <c r="DN15" s="80" t="s">
        <v>6109</v>
      </c>
      <c r="DO15" s="90">
        <v>3</v>
      </c>
      <c r="DP15" s="90">
        <v>6</v>
      </c>
      <c r="DQ15" s="90">
        <v>64</v>
      </c>
      <c r="DR15" s="90">
        <v>7</v>
      </c>
      <c r="DS15" s="128" t="str">
        <f t="shared" si="14"/>
        <v>"MYSTICAL-13" : {
"Capacities":["Maîtrise psionique"],
"Specials": 64,
"BonusAttack": 3
}</v>
      </c>
      <c r="DT15" s="131">
        <v>5</v>
      </c>
      <c r="DU15" s="34"/>
      <c r="DV15" s="34">
        <v>6</v>
      </c>
      <c r="DW15" s="34" t="s">
        <v>3265</v>
      </c>
      <c r="DX15" s="5">
        <v>4</v>
      </c>
      <c r="DY15" s="5">
        <v>3</v>
      </c>
      <c r="DZ15" s="5">
        <v>3</v>
      </c>
      <c r="EA15" s="5">
        <v>1</v>
      </c>
      <c r="EB15" s="5">
        <v>0</v>
      </c>
      <c r="EC15" s="135" t="str">
        <f t="shared" si="10"/>
        <v>"PALADIN-13" : {
"Capacities":[],
"SpellsNb": 6,
"SpellsNbBonus": "CHA",
"Locations": {
"1":4,
"2":3,
"3":3,
"4":1,
"5":0}
}</v>
      </c>
      <c r="ED15" s="5">
        <v>5</v>
      </c>
      <c r="EE15" s="34"/>
      <c r="EF15" s="5">
        <v>8</v>
      </c>
      <c r="EG15" s="5">
        <v>4</v>
      </c>
      <c r="EH15" s="5">
        <v>3</v>
      </c>
      <c r="EI15" s="5">
        <v>3</v>
      </c>
      <c r="EJ15" s="5">
        <v>1</v>
      </c>
      <c r="EK15" s="5">
        <v>0</v>
      </c>
      <c r="EL15" s="5" t="str">
        <f t="shared" si="11"/>
        <v>"PROWLER-13" : {
"Capacities":[],
"SpellsNb":8,
"Locations": {
"1":4,
"2":3,
"3":3,
"4":1,
"5":0}
}</v>
      </c>
      <c r="EM15" s="131">
        <v>5</v>
      </c>
      <c r="EN15" s="5" t="s">
        <v>1005</v>
      </c>
      <c r="EO15" s="34" t="s">
        <v>2990</v>
      </c>
      <c r="EP15" s="90">
        <v>4</v>
      </c>
      <c r="EQ15" s="90">
        <v>9</v>
      </c>
      <c r="ER15" s="90">
        <v>4</v>
      </c>
      <c r="ES15" s="90">
        <v>3</v>
      </c>
      <c r="ET15" s="90">
        <v>2</v>
      </c>
      <c r="EU15" s="90">
        <v>0</v>
      </c>
      <c r="EV15" s="132" t="str">
        <f t="shared" si="12"/>
        <v>"WILY-13" : {
"Capacities":["Capacité de l'archétype de roublard"],
"BonusAttack": "7d6",
"MinorSpellsNb": 4,
"SpellsNb": 9,
"Locations": {
"1":4,
"2":3,
"3":2,
"4":0
}
}</v>
      </c>
      <c r="EW15" s="5">
        <v>5</v>
      </c>
      <c r="EX15" s="34" t="s">
        <v>2980</v>
      </c>
      <c r="EY15" s="5">
        <v>4</v>
      </c>
      <c r="EZ15" s="5">
        <v>12</v>
      </c>
      <c r="FA15" s="5">
        <v>3</v>
      </c>
      <c r="FB15" s="5">
        <v>5</v>
      </c>
      <c r="FC15" s="5">
        <v>6</v>
      </c>
      <c r="FD15" s="116" t="str">
        <f t="shared" si="13"/>
        <v>"WIZARD-13" : {
"Capacities":["Arcanum mystique (niveau 7)"],
"MinorSpellsNb": 4,
"SpellsNb": 12,
"Locations": {"5":3},
"Invocations": 6
}</v>
      </c>
    </row>
    <row r="16" spans="1:160" ht="15" customHeight="1">
      <c r="A16" s="124">
        <v>14</v>
      </c>
      <c r="B16" s="91">
        <v>5</v>
      </c>
      <c r="C16" s="78" t="s">
        <v>5963</v>
      </c>
      <c r="D16" s="91">
        <v>10</v>
      </c>
      <c r="E16" s="91">
        <v>5</v>
      </c>
      <c r="F16" s="91">
        <v>4</v>
      </c>
      <c r="G16" s="91">
        <v>4</v>
      </c>
      <c r="H16" s="91">
        <v>3</v>
      </c>
      <c r="I16" s="91">
        <v>3</v>
      </c>
      <c r="J16" s="91">
        <v>1</v>
      </c>
      <c r="K16" s="91">
        <v>0</v>
      </c>
      <c r="L16" s="132" t="str">
        <f t="shared" si="0"/>
        <v>"ARTIFICER-14" : {
"Capacities":["Érudit en objets magiques"],
"MinorSpellsNb": 4,
"Locations": {
"1":4,
"2":3,
"3":3,
"4":1,
"5":0},
"Impregnation": 10,
"ImpregnatedObjects": 5
}</v>
      </c>
      <c r="M16" s="91">
        <v>5</v>
      </c>
      <c r="N16" s="78" t="s">
        <v>3057</v>
      </c>
      <c r="O16" s="91">
        <v>5</v>
      </c>
      <c r="P16" s="78">
        <v>4</v>
      </c>
      <c r="Q16" s="78">
        <v>3</v>
      </c>
      <c r="R16" s="78">
        <v>3</v>
      </c>
      <c r="S16" s="78">
        <v>3</v>
      </c>
      <c r="T16" s="78">
        <v>2</v>
      </c>
      <c r="U16" s="78">
        <v>1</v>
      </c>
      <c r="V16" s="78">
        <v>1</v>
      </c>
      <c r="W16" s="78">
        <v>0</v>
      </c>
      <c r="X16" s="78">
        <v>0</v>
      </c>
      <c r="Y16" s="80" t="str">
        <f t="shared" si="1"/>
        <v>"CLERK-14" : {
"Capacities":["Destruction des morts-vivants (FP 3)"],
"MinorSpellsNb": 5,
"Locations": {
"1":4,
"2":3,
"3":3,
"4":3,
"5":2,
"6":1,
"7":1,
"8":0,
"9":0}
}</v>
      </c>
      <c r="Z16" s="4">
        <v>5</v>
      </c>
      <c r="AA16" s="31" t="s">
        <v>2965</v>
      </c>
      <c r="AB16" s="4">
        <v>5</v>
      </c>
      <c r="AC16" s="4">
        <v>3</v>
      </c>
      <c r="AD16" s="170">
        <v>3</v>
      </c>
      <c r="AE16" s="170" t="s">
        <v>4072</v>
      </c>
      <c r="AF16" s="142" t="str">
        <f t="shared" si="2"/>
        <v>"BARBARIAN-14": {
"Capacities": ["Capacité de voie"],
"Specials": 5,
"Damages": 3,
"ArmourlessSpeed": 3,
"ArmourlessCategories": ["3_HEAVY"]
}</v>
      </c>
      <c r="AG16" s="133">
        <v>5</v>
      </c>
      <c r="AH16" s="31" t="s">
        <v>3066</v>
      </c>
      <c r="AI16" s="4">
        <v>4</v>
      </c>
      <c r="AJ16" s="4">
        <v>18</v>
      </c>
      <c r="AK16" s="31">
        <v>4</v>
      </c>
      <c r="AL16" s="31">
        <v>3</v>
      </c>
      <c r="AM16" s="31">
        <v>3</v>
      </c>
      <c r="AN16" s="31">
        <v>3</v>
      </c>
      <c r="AO16" s="31">
        <v>2</v>
      </c>
      <c r="AP16" s="31">
        <v>1</v>
      </c>
      <c r="AQ16" s="31">
        <v>1</v>
      </c>
      <c r="AR16" s="31">
        <v>0</v>
      </c>
      <c r="AS16" s="31">
        <v>0</v>
      </c>
      <c r="AT16" s="132" t="str">
        <f t="shared" si="3"/>
        <v>"BARD-14" : {
"Capacities":["Secrets magiques", "Capacité de collège bardique"],
"MinorSpellsNb": 4,
"SpellsNb": 18,
"Locations": {
"1":4,
"2":3,
"3":3,
"4":3,
"5":2,
"6":1,
"7":1,
"8":0,
"9":0}
}</v>
      </c>
      <c r="AU16" s="91">
        <v>5</v>
      </c>
      <c r="AV16" s="78" t="s">
        <v>3057</v>
      </c>
      <c r="AW16" s="91">
        <v>5</v>
      </c>
      <c r="AX16" s="78">
        <v>4</v>
      </c>
      <c r="AY16" s="78">
        <v>3</v>
      </c>
      <c r="AZ16" s="78">
        <v>3</v>
      </c>
      <c r="BA16" s="78">
        <v>3</v>
      </c>
      <c r="BB16" s="78">
        <v>2</v>
      </c>
      <c r="BC16" s="78">
        <v>1</v>
      </c>
      <c r="BD16" s="78">
        <v>1</v>
      </c>
      <c r="BE16" s="78">
        <v>0</v>
      </c>
      <c r="BF16" s="78">
        <v>0</v>
      </c>
      <c r="BG16" s="80" t="str">
        <f t="shared" si="4"/>
        <v>"CLERK-14" : {
"Capacities":["Destruction des morts-vivants (FP 3)"],
"MinorSpellsNb": 5,
"Locations": {
"1":4,
"2":3,
"3":3,
"4":3,
"5":2,
"6":1,
"7":1,
"8":0,
"9":0}
}</v>
      </c>
      <c r="BH16" s="133">
        <v>5</v>
      </c>
      <c r="BI16" s="31" t="s">
        <v>3048</v>
      </c>
      <c r="BJ16" s="4">
        <v>4</v>
      </c>
      <c r="BK16" s="31">
        <v>4</v>
      </c>
      <c r="BL16" s="31">
        <v>3</v>
      </c>
      <c r="BM16" s="31">
        <v>3</v>
      </c>
      <c r="BN16" s="31">
        <v>3</v>
      </c>
      <c r="BO16" s="31">
        <v>2</v>
      </c>
      <c r="BP16" s="31">
        <v>1</v>
      </c>
      <c r="BQ16" s="31">
        <v>1</v>
      </c>
      <c r="BR16" s="31">
        <v>0</v>
      </c>
      <c r="BS16" s="31">
        <v>0</v>
      </c>
      <c r="BT16" s="132" t="str">
        <f t="shared" si="5"/>
        <v>"DRUID-14" : {
"Capacities":["Capacité de cercle druidique"],
"MinorSpellsNb": 4,
"Locations": {
"1":4,
"2":3,
"3":3,
"4":3,
"5":2,
"6":1,
"7":1,
"8":0,
"9":0}
}</v>
      </c>
      <c r="BU16" s="4">
        <v>5</v>
      </c>
      <c r="BV16" s="4">
        <v>14</v>
      </c>
      <c r="BW16" s="31" t="s">
        <v>3043</v>
      </c>
      <c r="BX16" s="4">
        <v>6</v>
      </c>
      <c r="BY16" s="4">
        <v>13</v>
      </c>
      <c r="BZ16" s="31">
        <v>4</v>
      </c>
      <c r="CA16" s="31">
        <v>3</v>
      </c>
      <c r="CB16" s="31">
        <v>3</v>
      </c>
      <c r="CC16" s="31">
        <v>3</v>
      </c>
      <c r="CD16" s="31">
        <v>2</v>
      </c>
      <c r="CE16" s="31">
        <v>1</v>
      </c>
      <c r="CF16" s="31">
        <v>1</v>
      </c>
      <c r="CG16" s="31">
        <v>0</v>
      </c>
      <c r="CH16" s="31">
        <v>0</v>
      </c>
      <c r="CI16" s="34" t="str">
        <f t="shared" si="6"/>
        <v>"SORCERER-14" : {
"Capacities":["Capacité de l'origine magique"],
"MinorSpellsNb": 6,
"SpellsNb": 13,
"Specials": 14,
"Locations": {
"1":4,
"2":3,
"3":3,
"4":3,
"5":2,
"6":1,
"7":1,
"8":0,
"9":0}
}</v>
      </c>
      <c r="CJ16" s="133">
        <v>5</v>
      </c>
      <c r="CK16" s="31" t="s">
        <v>2963</v>
      </c>
      <c r="CL16" s="91">
        <v>3</v>
      </c>
      <c r="CM16" s="91">
        <v>10</v>
      </c>
      <c r="CN16" s="91">
        <v>4</v>
      </c>
      <c r="CO16" s="91">
        <v>3</v>
      </c>
      <c r="CP16" s="91">
        <v>2</v>
      </c>
      <c r="CQ16" s="91">
        <v>0</v>
      </c>
      <c r="CR16" s="132" t="str">
        <f t="shared" si="7"/>
        <v>"WARRIOR-14" : {
"Capacities":["Amélioration de caractéristiques"],
"MinorSpellsNb": 3,
"SpellsNb": 10,
"Locations": {
"1":4,
"2":3,
"3":2,
"4":0}
}</v>
      </c>
      <c r="CS16" s="4">
        <v>5</v>
      </c>
      <c r="CT16" s="31" t="s">
        <v>3031</v>
      </c>
      <c r="CU16" s="4">
        <v>5</v>
      </c>
      <c r="CV16" s="4">
        <v>4</v>
      </c>
      <c r="CW16" s="4">
        <v>3</v>
      </c>
      <c r="CX16" s="4">
        <v>3</v>
      </c>
      <c r="CY16" s="4">
        <v>3</v>
      </c>
      <c r="CZ16" s="4">
        <v>2</v>
      </c>
      <c r="DA16" s="4">
        <v>1</v>
      </c>
      <c r="DB16" s="4">
        <v>1</v>
      </c>
      <c r="DC16" s="4">
        <v>0</v>
      </c>
      <c r="DD16" s="4">
        <v>0</v>
      </c>
      <c r="DE16" s="5" t="str">
        <f t="shared" si="8"/>
        <v>"MAGICIAN-14" : {
"Capacities":["Capacité de la tradition arcanique"],
"MinorSpellsNb": 5,
"Locations": {
"1":4,
"2":3,
"3":3,
"4":3,
"5":2,
"6":1,
"7":1,
"8":0,
"9":0}
}</v>
      </c>
      <c r="DF16" s="140">
        <v>5</v>
      </c>
      <c r="DG16" s="117" t="s">
        <v>169</v>
      </c>
      <c r="DH16" s="117">
        <v>14</v>
      </c>
      <c r="DI16" s="170">
        <v>7.5</v>
      </c>
      <c r="DJ16" s="170" t="s">
        <v>4074</v>
      </c>
      <c r="DK16" s="145" t="s">
        <v>3025</v>
      </c>
      <c r="DL16" s="128" t="str">
        <f t="shared" si="9"/>
        <v>"MONK-14" : {
"Capacities":["Âme de diamant"],
"Specials": 14,
"BonusAttack": "1d8",
"ArmourlessSpeed": 7.5,
"ArmourlessCategories": ["1_LIGHT", "2_MID", "3_HEAVY"]
}</v>
      </c>
      <c r="DM16" s="91">
        <v>5</v>
      </c>
      <c r="DN16" s="78" t="s">
        <v>6110</v>
      </c>
      <c r="DO16" s="91">
        <v>3</v>
      </c>
      <c r="DP16" s="91">
        <v>6</v>
      </c>
      <c r="DQ16" s="91">
        <v>64</v>
      </c>
      <c r="DR16" s="91">
        <v>7</v>
      </c>
      <c r="DS16" s="128" t="str">
        <f t="shared" si="14"/>
        <v>"MYSTICAL-14" : {
"Capacities":["Capacité de l'Ordre mystique", "Psionique puissant"],
"Specials": 64,
"BonusAttack": 3
}</v>
      </c>
      <c r="DT16" s="133">
        <v>5</v>
      </c>
      <c r="DU16" s="31" t="s">
        <v>3014</v>
      </c>
      <c r="DV16" s="31">
        <v>7</v>
      </c>
      <c r="DW16" s="31" t="s">
        <v>3265</v>
      </c>
      <c r="DX16" s="4">
        <v>4</v>
      </c>
      <c r="DY16" s="4">
        <v>3</v>
      </c>
      <c r="DZ16" s="4">
        <v>3</v>
      </c>
      <c r="EA16" s="4">
        <v>1</v>
      </c>
      <c r="EB16" s="4">
        <v>0</v>
      </c>
      <c r="EC16" s="135" t="str">
        <f t="shared" si="10"/>
        <v>"PALADIN-14" : {
"Capacities":["Contact purifiant"],
"SpellsNb": 7,
"SpellsNbBonus": "CHA",
"Locations": {
"1":4,
"2":3,
"3":3,
"4":1,
"5":0}
}</v>
      </c>
      <c r="ED16" s="4">
        <v>5</v>
      </c>
      <c r="EE16" s="31" t="s">
        <v>3004</v>
      </c>
      <c r="EF16" s="4">
        <v>8</v>
      </c>
      <c r="EG16" s="4">
        <v>4</v>
      </c>
      <c r="EH16" s="4">
        <v>3</v>
      </c>
      <c r="EI16" s="4">
        <v>3</v>
      </c>
      <c r="EJ16" s="4">
        <v>1</v>
      </c>
      <c r="EK16" s="4">
        <v>0</v>
      </c>
      <c r="EL16" s="5" t="str">
        <f t="shared" si="11"/>
        <v>"PROWLER-14" : {
"Capacities":["Amélioration de l'Ennemi juré", "Disparition"],
"SpellsNb":8,
"Locations": {
"1":4,
"2":3,
"3":3,
"4":1,
"5":0}
}</v>
      </c>
      <c r="EM16" s="133">
        <v>5</v>
      </c>
      <c r="EN16" s="4" t="s">
        <v>1005</v>
      </c>
      <c r="EO16" s="31" t="s">
        <v>2992</v>
      </c>
      <c r="EP16" s="91">
        <v>4</v>
      </c>
      <c r="EQ16" s="91">
        <v>10</v>
      </c>
      <c r="ER16" s="91">
        <v>4</v>
      </c>
      <c r="ES16" s="91">
        <v>3</v>
      </c>
      <c r="ET16" s="91">
        <v>2</v>
      </c>
      <c r="EU16" s="91">
        <v>0</v>
      </c>
      <c r="EV16" s="132" t="str">
        <f t="shared" si="12"/>
        <v>"WILY-14" : {
"Capacities":["Ouïe fine"],
"BonusAttack": "7d6",
"MinorSpellsNb": 4,
"SpellsNb": 10,
"Locations": {
"1":4,
"2":3,
"3":2,
"4":0
}
}</v>
      </c>
      <c r="EW16" s="4">
        <v>5</v>
      </c>
      <c r="EX16" s="31" t="s">
        <v>2978</v>
      </c>
      <c r="EY16" s="4">
        <v>4</v>
      </c>
      <c r="EZ16" s="4">
        <v>12</v>
      </c>
      <c r="FA16" s="4">
        <v>3</v>
      </c>
      <c r="FB16" s="4">
        <v>5</v>
      </c>
      <c r="FC16" s="4">
        <v>6</v>
      </c>
      <c r="FD16" s="116" t="str">
        <f t="shared" si="13"/>
        <v>"WIZARD-14" : {
"Capacities":["Capacité de patron d'Outremonde"],
"MinorSpellsNb": 4,
"SpellsNb": 12,
"Locations": {"5":3},
"Invocations": 6
}</v>
      </c>
    </row>
    <row r="17" spans="1:160" ht="15" customHeight="1">
      <c r="A17" s="123">
        <v>15</v>
      </c>
      <c r="B17" s="90">
        <v>5</v>
      </c>
      <c r="C17" s="80" t="s">
        <v>5958</v>
      </c>
      <c r="D17" s="90">
        <v>10</v>
      </c>
      <c r="E17" s="90">
        <v>5</v>
      </c>
      <c r="F17" s="90">
        <v>4</v>
      </c>
      <c r="G17" s="90">
        <v>4</v>
      </c>
      <c r="H17" s="90">
        <v>3</v>
      </c>
      <c r="I17" s="90">
        <v>3</v>
      </c>
      <c r="J17" s="90">
        <v>2</v>
      </c>
      <c r="K17" s="90">
        <v>0</v>
      </c>
      <c r="L17" s="132" t="str">
        <f t="shared" si="0"/>
        <v>"ARTIFICER-15" : {
"Capacities":["Capacité de la spécialité d'artificier"],
"MinorSpellsNb": 4,
"Locations": {
"1":4,
"2":3,
"3":3,
"4":2,
"5":0},
"Impregnation": 10,
"ImpregnatedObjects": 5
}</v>
      </c>
      <c r="M17" s="90">
        <v>5</v>
      </c>
      <c r="N17" s="80"/>
      <c r="O17" s="90">
        <v>5</v>
      </c>
      <c r="P17" s="80">
        <v>4</v>
      </c>
      <c r="Q17" s="80">
        <v>3</v>
      </c>
      <c r="R17" s="80">
        <v>3</v>
      </c>
      <c r="S17" s="80">
        <v>3</v>
      </c>
      <c r="T17" s="80">
        <v>2</v>
      </c>
      <c r="U17" s="80">
        <v>1</v>
      </c>
      <c r="V17" s="80">
        <v>1</v>
      </c>
      <c r="W17" s="80">
        <v>1</v>
      </c>
      <c r="X17" s="80">
        <v>0</v>
      </c>
      <c r="Y17" s="80" t="str">
        <f t="shared" si="1"/>
        <v>"CLERK-15" : {
"Capacities":[],
"MinorSpellsNb": 5,
"Locations": {
"1":4,
"2":3,
"3":3,
"4":3,
"5":2,
"6":1,
"7":1,
"8":1,
"9":0}
}</v>
      </c>
      <c r="Z17" s="5">
        <v>5</v>
      </c>
      <c r="AA17" s="34" t="s">
        <v>2970</v>
      </c>
      <c r="AB17" s="5">
        <v>5</v>
      </c>
      <c r="AC17" s="5">
        <v>3</v>
      </c>
      <c r="AD17" s="169">
        <v>3</v>
      </c>
      <c r="AE17" s="169" t="s">
        <v>4072</v>
      </c>
      <c r="AF17" s="142" t="str">
        <f t="shared" si="2"/>
        <v>"BARBARIAN-15": {
"Capacities": ["Rage ininterrompue"],
"Specials": 5,
"Damages": 3,
"ArmourlessSpeed": 3,
"ArmourlessCategories": ["3_HEAVY"]
}</v>
      </c>
      <c r="AG17" s="131">
        <v>5</v>
      </c>
      <c r="AH17" s="34"/>
      <c r="AI17" s="5">
        <v>4</v>
      </c>
      <c r="AJ17" s="5">
        <v>19</v>
      </c>
      <c r="AK17" s="34">
        <v>4</v>
      </c>
      <c r="AL17" s="34">
        <v>3</v>
      </c>
      <c r="AM17" s="34">
        <v>3</v>
      </c>
      <c r="AN17" s="34">
        <v>3</v>
      </c>
      <c r="AO17" s="34">
        <v>2</v>
      </c>
      <c r="AP17" s="34">
        <v>1</v>
      </c>
      <c r="AQ17" s="34">
        <v>1</v>
      </c>
      <c r="AR17" s="34">
        <v>1</v>
      </c>
      <c r="AS17" s="34">
        <v>0</v>
      </c>
      <c r="AT17" s="132" t="str">
        <f t="shared" si="3"/>
        <v>"BARD-15" : {
"Capacities":[],
"MinorSpellsNb": 4,
"SpellsNb": 19,
"Locations": {
"1":4,
"2":3,
"3":3,
"4":3,
"5":2,
"6":1,
"7":1,
"8":1,
"9":0}
}</v>
      </c>
      <c r="AU17" s="90">
        <v>5</v>
      </c>
      <c r="AV17" s="80"/>
      <c r="AW17" s="90">
        <v>5</v>
      </c>
      <c r="AX17" s="80">
        <v>4</v>
      </c>
      <c r="AY17" s="80">
        <v>3</v>
      </c>
      <c r="AZ17" s="80">
        <v>3</v>
      </c>
      <c r="BA17" s="80">
        <v>3</v>
      </c>
      <c r="BB17" s="80">
        <v>2</v>
      </c>
      <c r="BC17" s="80">
        <v>1</v>
      </c>
      <c r="BD17" s="80">
        <v>1</v>
      </c>
      <c r="BE17" s="80">
        <v>1</v>
      </c>
      <c r="BF17" s="80">
        <v>0</v>
      </c>
      <c r="BG17" s="80" t="str">
        <f t="shared" si="4"/>
        <v>"CLERK-15" : {
"Capacities":[],
"MinorSpellsNb": 5,
"Locations": {
"1":4,
"2":3,
"3":3,
"4":3,
"5":2,
"6":1,
"7":1,
"8":1,
"9":0}
}</v>
      </c>
      <c r="BH17" s="131">
        <v>5</v>
      </c>
      <c r="BI17" s="34"/>
      <c r="BJ17" s="5">
        <v>4</v>
      </c>
      <c r="BK17" s="34">
        <v>4</v>
      </c>
      <c r="BL17" s="34">
        <v>3</v>
      </c>
      <c r="BM17" s="34">
        <v>3</v>
      </c>
      <c r="BN17" s="34">
        <v>3</v>
      </c>
      <c r="BO17" s="34">
        <v>2</v>
      </c>
      <c r="BP17" s="34">
        <v>1</v>
      </c>
      <c r="BQ17" s="34">
        <v>1</v>
      </c>
      <c r="BR17" s="34">
        <v>1</v>
      </c>
      <c r="BS17" s="34">
        <v>0</v>
      </c>
      <c r="BT17" s="132" t="str">
        <f t="shared" si="5"/>
        <v>"DRUID-15" : {
"Capacities":[],
"MinorSpellsNb": 4,
"Locations": {
"1":4,
"2":3,
"3":3,
"4":3,
"5":2,
"6":1,
"7":1,
"8":1,
"9":0}
}</v>
      </c>
      <c r="BU17" s="5">
        <v>5</v>
      </c>
      <c r="BV17" s="5">
        <v>15</v>
      </c>
      <c r="BW17" s="34"/>
      <c r="BX17" s="5">
        <v>6</v>
      </c>
      <c r="BY17" s="5">
        <v>14</v>
      </c>
      <c r="BZ17" s="34">
        <v>4</v>
      </c>
      <c r="CA17" s="34">
        <v>3</v>
      </c>
      <c r="CB17" s="34">
        <v>3</v>
      </c>
      <c r="CC17" s="34">
        <v>3</v>
      </c>
      <c r="CD17" s="34">
        <v>2</v>
      </c>
      <c r="CE17" s="34">
        <v>1</v>
      </c>
      <c r="CF17" s="34">
        <v>1</v>
      </c>
      <c r="CG17" s="34">
        <v>1</v>
      </c>
      <c r="CH17" s="34">
        <v>0</v>
      </c>
      <c r="CI17" s="34" t="str">
        <f t="shared" si="6"/>
        <v>"SORCERER-15" : {
"Capacities":[],
"MinorSpellsNb": 6,
"SpellsNb": 14,
"Specials": 15,
"Locations": {
"1":4,
"2":3,
"3":3,
"4":3,
"5":2,
"6":1,
"7":1,
"8":1,
"9":0}
}</v>
      </c>
      <c r="CJ17" s="131">
        <v>5</v>
      </c>
      <c r="CK17" s="34" t="s">
        <v>3037</v>
      </c>
      <c r="CL17" s="90">
        <v>3</v>
      </c>
      <c r="CM17" s="90">
        <v>10</v>
      </c>
      <c r="CN17" s="90">
        <v>4</v>
      </c>
      <c r="CO17" s="90">
        <v>3</v>
      </c>
      <c r="CP17" s="90">
        <v>2</v>
      </c>
      <c r="CQ17" s="90">
        <v>0</v>
      </c>
      <c r="CR17" s="132" t="str">
        <f t="shared" si="7"/>
        <v>"WARRIOR-15" : {
"Capacities":["Capacité de l'archétype martial"],
"MinorSpellsNb": 3,
"SpellsNb": 10,
"Locations": {
"1":4,
"2":3,
"3":2,
"4":0}
}</v>
      </c>
      <c r="CS17" s="5">
        <v>5</v>
      </c>
      <c r="CT17" s="34"/>
      <c r="CU17" s="5">
        <v>5</v>
      </c>
      <c r="CV17" s="5">
        <v>4</v>
      </c>
      <c r="CW17" s="5">
        <v>3</v>
      </c>
      <c r="CX17" s="5">
        <v>3</v>
      </c>
      <c r="CY17" s="5">
        <v>3</v>
      </c>
      <c r="CZ17" s="5">
        <v>2</v>
      </c>
      <c r="DA17" s="5">
        <v>1</v>
      </c>
      <c r="DB17" s="5">
        <v>1</v>
      </c>
      <c r="DC17" s="5">
        <v>1</v>
      </c>
      <c r="DD17" s="5">
        <v>0</v>
      </c>
      <c r="DE17" s="5" t="str">
        <f t="shared" si="8"/>
        <v>"MAGICIAN-15" : {
"Capacities":[],
"MinorSpellsNb": 5,
"Locations": {
"1":4,
"2":3,
"3":3,
"4":3,
"5":2,
"6":1,
"7":1,
"8":1,
"9":0}
}</v>
      </c>
      <c r="DF17" s="139">
        <v>5</v>
      </c>
      <c r="DG17" s="115" t="s">
        <v>169</v>
      </c>
      <c r="DH17" s="115">
        <v>15</v>
      </c>
      <c r="DI17" s="169">
        <v>7.5</v>
      </c>
      <c r="DJ17" s="169" t="s">
        <v>4074</v>
      </c>
      <c r="DK17" s="144" t="s">
        <v>3026</v>
      </c>
      <c r="DL17" s="128" t="str">
        <f t="shared" si="9"/>
        <v>"MONK-15" : {
"Capacities":["Jeunesse éternelle"],
"Specials": 15,
"BonusAttack": "1d8",
"ArmourlessSpeed": 7.5,
"ArmourlessCategories": ["1_LIGHT", "2_MID", "3_HEAVY"]
}</v>
      </c>
      <c r="DM17" s="90">
        <v>5</v>
      </c>
      <c r="DN17" s="80" t="s">
        <v>6109</v>
      </c>
      <c r="DO17" s="90">
        <v>3</v>
      </c>
      <c r="DP17" s="90">
        <v>7</v>
      </c>
      <c r="DQ17" s="90">
        <v>64</v>
      </c>
      <c r="DR17" s="90">
        <v>7</v>
      </c>
      <c r="DS17" s="128" t="str">
        <f t="shared" si="14"/>
        <v>"MYSTICAL-15" : {
"Capacities":["Maîtrise psionique"],
"Specials": 64,
"BonusAttack": 3
}</v>
      </c>
      <c r="DT17" s="131">
        <v>5</v>
      </c>
      <c r="DU17" s="34" t="s">
        <v>3011</v>
      </c>
      <c r="DV17" s="34">
        <v>7</v>
      </c>
      <c r="DW17" s="34" t="s">
        <v>3265</v>
      </c>
      <c r="DX17" s="5">
        <v>4</v>
      </c>
      <c r="DY17" s="5">
        <v>3</v>
      </c>
      <c r="DZ17" s="5">
        <v>3</v>
      </c>
      <c r="EA17" s="5">
        <v>2</v>
      </c>
      <c r="EB17" s="5">
        <v>0</v>
      </c>
      <c r="EC17" s="135" t="str">
        <f t="shared" si="10"/>
        <v>"PALADIN-15" : {
"Capacities":["Capacité de serment sacré"],
"SpellsNb": 7,
"SpellsNbBonus": "CHA",
"Locations": {
"1":4,
"2":3,
"3":3,
"4":2,
"5":0}
}</v>
      </c>
      <c r="ED17" s="5">
        <v>5</v>
      </c>
      <c r="EE17" s="34" t="s">
        <v>3001</v>
      </c>
      <c r="EF17" s="5">
        <v>9</v>
      </c>
      <c r="EG17" s="5">
        <v>4</v>
      </c>
      <c r="EH17" s="5">
        <v>3</v>
      </c>
      <c r="EI17" s="5">
        <v>3</v>
      </c>
      <c r="EJ17" s="5">
        <v>2</v>
      </c>
      <c r="EK17" s="5">
        <v>0</v>
      </c>
      <c r="EL17" s="5" t="str">
        <f t="shared" si="11"/>
        <v>"PROWLER-15" : {
"Capacities":["Capacité de l'archétype de rôdeur"],
"SpellsNb":9,
"Locations": {
"1":4,
"2":3,
"3":3,
"4":2,
"5":0}
}</v>
      </c>
      <c r="EM17" s="131">
        <v>5</v>
      </c>
      <c r="EN17" s="5" t="s">
        <v>1006</v>
      </c>
      <c r="EO17" s="34" t="s">
        <v>2993</v>
      </c>
      <c r="EP17" s="90">
        <v>4</v>
      </c>
      <c r="EQ17" s="90">
        <v>10</v>
      </c>
      <c r="ER17" s="90">
        <v>4</v>
      </c>
      <c r="ES17" s="90">
        <v>3</v>
      </c>
      <c r="ET17" s="90">
        <v>2</v>
      </c>
      <c r="EU17" s="90">
        <v>0</v>
      </c>
      <c r="EV17" s="132" t="str">
        <f t="shared" si="12"/>
        <v>"WILY-15" : {
"Capacities":["Esprit impénétrable"],
"BonusAttack": "8d6",
"MinorSpellsNb": 4,
"SpellsNb": 10,
"Locations": {
"1":4,
"2":3,
"3":2,
"4":0
}
}</v>
      </c>
      <c r="EW17" s="5">
        <v>5</v>
      </c>
      <c r="EX17" s="34" t="s">
        <v>2981</v>
      </c>
      <c r="EY17" s="5">
        <v>4</v>
      </c>
      <c r="EZ17" s="5">
        <v>13</v>
      </c>
      <c r="FA17" s="5">
        <v>3</v>
      </c>
      <c r="FB17" s="5">
        <v>5</v>
      </c>
      <c r="FC17" s="5">
        <v>7</v>
      </c>
      <c r="FD17" s="116" t="str">
        <f t="shared" si="13"/>
        <v>"WIZARD-15" : {
"Capacities":["Arcanum mystique (niveau 8)"],
"MinorSpellsNb": 4,
"SpellsNb": 13,
"Locations": {"5":3},
"Invocations": 7
}</v>
      </c>
    </row>
    <row r="18" spans="1:160" ht="15" customHeight="1">
      <c r="A18" s="124">
        <v>16</v>
      </c>
      <c r="B18" s="91">
        <v>5</v>
      </c>
      <c r="C18" s="78" t="s">
        <v>2963</v>
      </c>
      <c r="D18" s="91">
        <v>10</v>
      </c>
      <c r="E18" s="91">
        <v>5</v>
      </c>
      <c r="F18" s="91">
        <v>4</v>
      </c>
      <c r="G18" s="91">
        <v>4</v>
      </c>
      <c r="H18" s="91">
        <v>3</v>
      </c>
      <c r="I18" s="91">
        <v>3</v>
      </c>
      <c r="J18" s="91">
        <v>2</v>
      </c>
      <c r="K18" s="91">
        <v>0</v>
      </c>
      <c r="L18" s="132" t="str">
        <f t="shared" si="0"/>
        <v>"ARTIFICER-16" : {
"Capacities":["Amélioration de caractéristiques"],
"MinorSpellsNb": 4,
"Locations": {
"1":4,
"2":3,
"3":3,
"4":2,
"5":0},
"Impregnation": 10,
"ImpregnatedObjects": 5
}</v>
      </c>
      <c r="M18" s="91">
        <v>5</v>
      </c>
      <c r="N18" s="78" t="s">
        <v>2963</v>
      </c>
      <c r="O18" s="91">
        <v>5</v>
      </c>
      <c r="P18" s="78">
        <v>4</v>
      </c>
      <c r="Q18" s="78">
        <v>3</v>
      </c>
      <c r="R18" s="78">
        <v>3</v>
      </c>
      <c r="S18" s="78">
        <v>3</v>
      </c>
      <c r="T18" s="78">
        <v>2</v>
      </c>
      <c r="U18" s="78">
        <v>1</v>
      </c>
      <c r="V18" s="78">
        <v>1</v>
      </c>
      <c r="W18" s="78">
        <v>1</v>
      </c>
      <c r="X18" s="78">
        <v>0</v>
      </c>
      <c r="Y18" s="80" t="str">
        <f t="shared" si="1"/>
        <v>"CLERK-16" : {
"Capacities":["Amélioration de caractéristiques"],
"MinorSpellsNb": 5,
"Locations": {
"1":4,
"2":3,
"3":3,
"4":3,
"5":2,
"6":1,
"7":1,
"8":1,
"9":0}
}</v>
      </c>
      <c r="Z18" s="4">
        <v>5</v>
      </c>
      <c r="AA18" s="31" t="s">
        <v>2963</v>
      </c>
      <c r="AB18" s="4">
        <v>5</v>
      </c>
      <c r="AC18" s="4">
        <v>4</v>
      </c>
      <c r="AD18" s="170">
        <v>3</v>
      </c>
      <c r="AE18" s="170" t="s">
        <v>4072</v>
      </c>
      <c r="AF18" s="142" t="str">
        <f t="shared" si="2"/>
        <v>"BARBARIAN-16": {
"Capacities": ["Amélioration de caractéristiques"],
"Specials": 5,
"Damages": 4,
"ArmourlessSpeed": 3,
"ArmourlessCategories": ["3_HEAVY"]
}</v>
      </c>
      <c r="AG18" s="133">
        <v>5</v>
      </c>
      <c r="AH18" s="31" t="s">
        <v>2963</v>
      </c>
      <c r="AI18" s="4">
        <v>4</v>
      </c>
      <c r="AJ18" s="4">
        <v>19</v>
      </c>
      <c r="AK18" s="31">
        <v>4</v>
      </c>
      <c r="AL18" s="31">
        <v>3</v>
      </c>
      <c r="AM18" s="31">
        <v>3</v>
      </c>
      <c r="AN18" s="31">
        <v>3</v>
      </c>
      <c r="AO18" s="31">
        <v>2</v>
      </c>
      <c r="AP18" s="31">
        <v>1</v>
      </c>
      <c r="AQ18" s="31">
        <v>1</v>
      </c>
      <c r="AR18" s="31">
        <v>1</v>
      </c>
      <c r="AS18" s="31">
        <v>0</v>
      </c>
      <c r="AT18" s="132" t="str">
        <f t="shared" si="3"/>
        <v>"BARD-16" : {
"Capacities":["Amélioration de caractéristiques"],
"MinorSpellsNb": 4,
"SpellsNb": 19,
"Locations": {
"1":4,
"2":3,
"3":3,
"4":3,
"5":2,
"6":1,
"7":1,
"8":1,
"9":0}
}</v>
      </c>
      <c r="AU18" s="91">
        <v>5</v>
      </c>
      <c r="AV18" s="78" t="s">
        <v>2963</v>
      </c>
      <c r="AW18" s="91">
        <v>5</v>
      </c>
      <c r="AX18" s="78">
        <v>4</v>
      </c>
      <c r="AY18" s="78">
        <v>3</v>
      </c>
      <c r="AZ18" s="78">
        <v>3</v>
      </c>
      <c r="BA18" s="78">
        <v>3</v>
      </c>
      <c r="BB18" s="78">
        <v>2</v>
      </c>
      <c r="BC18" s="78">
        <v>1</v>
      </c>
      <c r="BD18" s="78">
        <v>1</v>
      </c>
      <c r="BE18" s="78">
        <v>1</v>
      </c>
      <c r="BF18" s="78">
        <v>0</v>
      </c>
      <c r="BG18" s="80" t="str">
        <f t="shared" si="4"/>
        <v>"CLERK-16" : {
"Capacities":["Amélioration de caractéristiques"],
"MinorSpellsNb": 5,
"Locations": {
"1":4,
"2":3,
"3":3,
"4":3,
"5":2,
"6":1,
"7":1,
"8":1,
"9":0}
}</v>
      </c>
      <c r="BH18" s="133">
        <v>5</v>
      </c>
      <c r="BI18" s="31" t="s">
        <v>2963</v>
      </c>
      <c r="BJ18" s="4">
        <v>4</v>
      </c>
      <c r="BK18" s="31">
        <v>4</v>
      </c>
      <c r="BL18" s="31">
        <v>3</v>
      </c>
      <c r="BM18" s="31">
        <v>3</v>
      </c>
      <c r="BN18" s="31">
        <v>3</v>
      </c>
      <c r="BO18" s="31">
        <v>2</v>
      </c>
      <c r="BP18" s="31">
        <v>1</v>
      </c>
      <c r="BQ18" s="31">
        <v>1</v>
      </c>
      <c r="BR18" s="31">
        <v>1</v>
      </c>
      <c r="BS18" s="31">
        <v>0</v>
      </c>
      <c r="BT18" s="132" t="str">
        <f t="shared" si="5"/>
        <v>"DRUID-16" : {
"Capacities":["Amélioration de caractéristiques"],
"MinorSpellsNb": 4,
"Locations": {
"1":4,
"2":3,
"3":3,
"4":3,
"5":2,
"6":1,
"7":1,
"8":1,
"9":0}
}</v>
      </c>
      <c r="BU18" s="4">
        <v>5</v>
      </c>
      <c r="BV18" s="4">
        <v>16</v>
      </c>
      <c r="BW18" s="31" t="s">
        <v>2963</v>
      </c>
      <c r="BX18" s="4">
        <v>6</v>
      </c>
      <c r="BY18" s="4">
        <v>14</v>
      </c>
      <c r="BZ18" s="31">
        <v>4</v>
      </c>
      <c r="CA18" s="31">
        <v>3</v>
      </c>
      <c r="CB18" s="31">
        <v>3</v>
      </c>
      <c r="CC18" s="31">
        <v>3</v>
      </c>
      <c r="CD18" s="31">
        <v>2</v>
      </c>
      <c r="CE18" s="31">
        <v>1</v>
      </c>
      <c r="CF18" s="31">
        <v>1</v>
      </c>
      <c r="CG18" s="31">
        <v>1</v>
      </c>
      <c r="CH18" s="31">
        <v>0</v>
      </c>
      <c r="CI18" s="34" t="str">
        <f t="shared" si="6"/>
        <v>"SORCERER-16" : {
"Capacities":["Amélioration de caractéristiques"],
"MinorSpellsNb": 6,
"SpellsNb": 14,
"Specials": 16,
"Locations": {
"1":4,
"2":3,
"3":3,
"4":3,
"5":2,
"6":1,
"7":1,
"8":1,
"9":0}
}</v>
      </c>
      <c r="CJ18" s="133">
        <v>5</v>
      </c>
      <c r="CK18" s="31" t="s">
        <v>2963</v>
      </c>
      <c r="CL18" s="91">
        <v>3</v>
      </c>
      <c r="CM18" s="91">
        <v>11</v>
      </c>
      <c r="CN18" s="91">
        <v>4</v>
      </c>
      <c r="CO18" s="91">
        <v>3</v>
      </c>
      <c r="CP18" s="91">
        <v>3</v>
      </c>
      <c r="CQ18" s="91">
        <v>0</v>
      </c>
      <c r="CR18" s="132" t="str">
        <f t="shared" si="7"/>
        <v>"WARRIOR-16" : {
"Capacities":["Amélioration de caractéristiques"],
"MinorSpellsNb": 3,
"SpellsNb": 11,
"Locations": {
"1":4,
"2":3,
"3":3,
"4":0}
}</v>
      </c>
      <c r="CS18" s="4">
        <v>5</v>
      </c>
      <c r="CT18" s="31" t="s">
        <v>2963</v>
      </c>
      <c r="CU18" s="4">
        <v>5</v>
      </c>
      <c r="CV18" s="4">
        <v>4</v>
      </c>
      <c r="CW18" s="4">
        <v>3</v>
      </c>
      <c r="CX18" s="4">
        <v>3</v>
      </c>
      <c r="CY18" s="4">
        <v>3</v>
      </c>
      <c r="CZ18" s="4">
        <v>2</v>
      </c>
      <c r="DA18" s="4">
        <v>1</v>
      </c>
      <c r="DB18" s="4">
        <v>1</v>
      </c>
      <c r="DC18" s="4">
        <v>1</v>
      </c>
      <c r="DD18" s="4">
        <v>0</v>
      </c>
      <c r="DE18" s="5" t="str">
        <f t="shared" si="8"/>
        <v>"MAGICIAN-16" : {
"Capacities":["Amélioration de caractéristiques"],
"MinorSpellsNb": 5,
"Locations": {
"1":4,
"2":3,
"3":3,
"4":3,
"5":2,
"6":1,
"7":1,
"8":1,
"9":0}
}</v>
      </c>
      <c r="DF18" s="140">
        <v>5</v>
      </c>
      <c r="DG18" s="117" t="s">
        <v>169</v>
      </c>
      <c r="DH18" s="117">
        <v>16</v>
      </c>
      <c r="DI18" s="170">
        <v>7.5</v>
      </c>
      <c r="DJ18" s="170" t="s">
        <v>4074</v>
      </c>
      <c r="DK18" s="145" t="s">
        <v>2963</v>
      </c>
      <c r="DL18" s="128" t="str">
        <f t="shared" si="9"/>
        <v>"MONK-16" : {
"Capacities":["Amélioration de caractéristiques"],
"Specials": 16,
"BonusAttack": "1d8",
"ArmourlessSpeed": 7.5,
"ArmourlessCategories": ["1_LIGHT", "2_MID", "3_HEAVY"]
}</v>
      </c>
      <c r="DM18" s="91">
        <v>5</v>
      </c>
      <c r="DN18" s="78" t="s">
        <v>2963</v>
      </c>
      <c r="DO18" s="91">
        <v>3</v>
      </c>
      <c r="DP18" s="91">
        <v>7</v>
      </c>
      <c r="DQ18" s="91">
        <v>64</v>
      </c>
      <c r="DR18" s="91">
        <v>7</v>
      </c>
      <c r="DS18" s="128" t="str">
        <f t="shared" si="14"/>
        <v>"MYSTICAL-16" : {
"Capacities":["Amélioration de caractéristiques"],
"Specials": 64,
"BonusAttack": 3
}</v>
      </c>
      <c r="DT18" s="133">
        <v>5</v>
      </c>
      <c r="DU18" s="31" t="s">
        <v>2963</v>
      </c>
      <c r="DV18" s="31">
        <v>8</v>
      </c>
      <c r="DW18" s="31" t="s">
        <v>3265</v>
      </c>
      <c r="DX18" s="4">
        <v>4</v>
      </c>
      <c r="DY18" s="4">
        <v>3</v>
      </c>
      <c r="DZ18" s="4">
        <v>3</v>
      </c>
      <c r="EA18" s="4">
        <v>2</v>
      </c>
      <c r="EB18" s="4">
        <v>0</v>
      </c>
      <c r="EC18" s="135" t="str">
        <f t="shared" si="10"/>
        <v>"PALADIN-16" : {
"Capacities":["Amélioration de caractéristiques"],
"SpellsNb": 8,
"SpellsNbBonus": "CHA",
"Locations": {
"1":4,
"2":3,
"3":3,
"4":2,
"5":0}
}</v>
      </c>
      <c r="ED18" s="4">
        <v>5</v>
      </c>
      <c r="EE18" s="31" t="s">
        <v>2963</v>
      </c>
      <c r="EF18" s="4">
        <v>9</v>
      </c>
      <c r="EG18" s="4">
        <v>4</v>
      </c>
      <c r="EH18" s="4">
        <v>3</v>
      </c>
      <c r="EI18" s="4">
        <v>3</v>
      </c>
      <c r="EJ18" s="4">
        <v>2</v>
      </c>
      <c r="EK18" s="4">
        <v>0</v>
      </c>
      <c r="EL18" s="5" t="str">
        <f t="shared" si="11"/>
        <v>"PROWLER-16" : {
"Capacities":["Amélioration de caractéristiques"],
"SpellsNb":9,
"Locations": {
"1":4,
"2":3,
"3":3,
"4":2,
"5":0}
}</v>
      </c>
      <c r="EM18" s="133">
        <v>5</v>
      </c>
      <c r="EN18" s="4" t="s">
        <v>1006</v>
      </c>
      <c r="EO18" s="31" t="s">
        <v>2963</v>
      </c>
      <c r="EP18" s="91">
        <v>4</v>
      </c>
      <c r="EQ18" s="91">
        <v>11</v>
      </c>
      <c r="ER18" s="91">
        <v>4</v>
      </c>
      <c r="ES18" s="91">
        <v>3</v>
      </c>
      <c r="ET18" s="91">
        <v>3</v>
      </c>
      <c r="EU18" s="91">
        <v>0</v>
      </c>
      <c r="EV18" s="132" t="str">
        <f t="shared" si="12"/>
        <v>"WILY-16" : {
"Capacities":["Amélioration de caractéristiques"],
"BonusAttack": "8d6",
"MinorSpellsNb": 4,
"SpellsNb": 11,
"Locations": {
"1":4,
"2":3,
"3":3,
"4":0
}
}</v>
      </c>
      <c r="EW18" s="4">
        <v>5</v>
      </c>
      <c r="EX18" s="31" t="s">
        <v>2963</v>
      </c>
      <c r="EY18" s="4">
        <v>4</v>
      </c>
      <c r="EZ18" s="4">
        <v>13</v>
      </c>
      <c r="FA18" s="4">
        <v>3</v>
      </c>
      <c r="FB18" s="4">
        <v>5</v>
      </c>
      <c r="FC18" s="4">
        <v>7</v>
      </c>
      <c r="FD18" s="116" t="str">
        <f t="shared" si="13"/>
        <v>"WIZARD-16" : {
"Capacities":["Amélioration de caractéristiques"],
"MinorSpellsNb": 4,
"SpellsNb": 13,
"Locations": {"5":3},
"Invocations": 7
}</v>
      </c>
    </row>
    <row r="19" spans="1:160" ht="15" customHeight="1">
      <c r="A19" s="123">
        <v>17</v>
      </c>
      <c r="B19" s="90">
        <v>6</v>
      </c>
      <c r="C19" s="80"/>
      <c r="D19" s="90">
        <v>10</v>
      </c>
      <c r="E19" s="90">
        <v>5</v>
      </c>
      <c r="F19" s="90">
        <v>4</v>
      </c>
      <c r="G19" s="90">
        <v>4</v>
      </c>
      <c r="H19" s="90">
        <v>3</v>
      </c>
      <c r="I19" s="90">
        <v>3</v>
      </c>
      <c r="J19" s="90">
        <v>3</v>
      </c>
      <c r="K19" s="90">
        <v>1</v>
      </c>
      <c r="L19" s="132" t="str">
        <f t="shared" si="0"/>
        <v>"ARTIFICER-17" : {
"Capacities":[],
"MinorSpellsNb": 4,
"Locations": {
"1":4,
"2":3,
"3":3,
"4":3,
"5":1},
"Impregnation": 10,
"ImpregnatedObjects": 5
}</v>
      </c>
      <c r="M19" s="90">
        <v>6</v>
      </c>
      <c r="N19" s="80" t="s">
        <v>3058</v>
      </c>
      <c r="O19" s="90">
        <v>5</v>
      </c>
      <c r="P19" s="80">
        <v>4</v>
      </c>
      <c r="Q19" s="80">
        <v>3</v>
      </c>
      <c r="R19" s="80">
        <v>3</v>
      </c>
      <c r="S19" s="80">
        <v>3</v>
      </c>
      <c r="T19" s="80">
        <v>2</v>
      </c>
      <c r="U19" s="80">
        <v>1</v>
      </c>
      <c r="V19" s="80">
        <v>1</v>
      </c>
      <c r="W19" s="80">
        <v>1</v>
      </c>
      <c r="X19" s="80">
        <v>1</v>
      </c>
      <c r="Y19" s="80" t="str">
        <f t="shared" si="1"/>
        <v>"CLERK-17" : {
"Capacities":["Destruction des morts-vivants (FP 4)", "Capacité de domaine divin"],
"MinorSpellsNb": 5,
"Locations": {
"1":4,
"2":3,
"3":3,
"4":3,
"5":2,
"6":1,
"7":1,
"8":1,
"9":1}
}</v>
      </c>
      <c r="Z19" s="5">
        <v>6</v>
      </c>
      <c r="AA19" s="34" t="s">
        <v>2971</v>
      </c>
      <c r="AB19" s="5">
        <v>6</v>
      </c>
      <c r="AC19" s="5">
        <v>4</v>
      </c>
      <c r="AD19" s="169">
        <v>3</v>
      </c>
      <c r="AE19" s="169" t="s">
        <v>4072</v>
      </c>
      <c r="AF19" s="142" t="str">
        <f t="shared" si="2"/>
        <v>"BARBARIAN-17": {
"Capacities": ["Critique brutal (3 dés)"],
"Specials": 6,
"Damages": 4,
"ArmourlessSpeed": 3,
"ArmourlessCategories": ["3_HEAVY"]
}</v>
      </c>
      <c r="AG19" s="131">
        <v>6</v>
      </c>
      <c r="AH19" s="34"/>
      <c r="AI19" s="5">
        <v>4</v>
      </c>
      <c r="AJ19" s="5">
        <v>20</v>
      </c>
      <c r="AK19" s="34">
        <v>4</v>
      </c>
      <c r="AL19" s="34">
        <v>3</v>
      </c>
      <c r="AM19" s="34">
        <v>3</v>
      </c>
      <c r="AN19" s="34">
        <v>3</v>
      </c>
      <c r="AO19" s="34">
        <v>2</v>
      </c>
      <c r="AP19" s="34">
        <v>1</v>
      </c>
      <c r="AQ19" s="34">
        <v>1</v>
      </c>
      <c r="AR19" s="34">
        <v>1</v>
      </c>
      <c r="AS19" s="34">
        <v>1</v>
      </c>
      <c r="AT19" s="132" t="str">
        <f t="shared" si="3"/>
        <v>"BARD-17" : {
"Capacities":[],
"MinorSpellsNb": 4,
"SpellsNb": 20,
"Locations": {
"1":4,
"2":3,
"3":3,
"4":3,
"5":2,
"6":1,
"7":1,
"8":1,
"9":1}
}</v>
      </c>
      <c r="AU19" s="90">
        <v>6</v>
      </c>
      <c r="AV19" s="80" t="s">
        <v>3058</v>
      </c>
      <c r="AW19" s="90">
        <v>5</v>
      </c>
      <c r="AX19" s="80">
        <v>4</v>
      </c>
      <c r="AY19" s="80">
        <v>3</v>
      </c>
      <c r="AZ19" s="80">
        <v>3</v>
      </c>
      <c r="BA19" s="80">
        <v>3</v>
      </c>
      <c r="BB19" s="80">
        <v>2</v>
      </c>
      <c r="BC19" s="80">
        <v>1</v>
      </c>
      <c r="BD19" s="80">
        <v>1</v>
      </c>
      <c r="BE19" s="80">
        <v>1</v>
      </c>
      <c r="BF19" s="80">
        <v>1</v>
      </c>
      <c r="BG19" s="80" t="str">
        <f t="shared" si="4"/>
        <v>"CLERK-17" : {
"Capacities":["Destruction des morts-vivants (FP 4)", "Capacité de domaine divin"],
"MinorSpellsNb": 5,
"Locations": {
"1":4,
"2":3,
"3":3,
"4":3,
"5":2,
"6":1,
"7":1,
"8":1,
"9":1}
}</v>
      </c>
      <c r="BH19" s="131">
        <v>6</v>
      </c>
      <c r="BI19" s="34"/>
      <c r="BJ19" s="5">
        <v>4</v>
      </c>
      <c r="BK19" s="34">
        <v>4</v>
      </c>
      <c r="BL19" s="34">
        <v>3</v>
      </c>
      <c r="BM19" s="34">
        <v>3</v>
      </c>
      <c r="BN19" s="34">
        <v>3</v>
      </c>
      <c r="BO19" s="34">
        <v>2</v>
      </c>
      <c r="BP19" s="34">
        <v>1</v>
      </c>
      <c r="BQ19" s="34">
        <v>1</v>
      </c>
      <c r="BR19" s="34">
        <v>1</v>
      </c>
      <c r="BS19" s="34">
        <v>1</v>
      </c>
      <c r="BT19" s="132" t="str">
        <f t="shared" si="5"/>
        <v>"DRUID-17" : {
"Capacities":[],
"MinorSpellsNb": 4,
"Locations": {
"1":4,
"2":3,
"3":3,
"4":3,
"5":2,
"6":1,
"7":1,
"8":1,
"9":1}
}</v>
      </c>
      <c r="BU19" s="5">
        <v>6</v>
      </c>
      <c r="BV19" s="5">
        <v>17</v>
      </c>
      <c r="BW19" s="34" t="s">
        <v>3042</v>
      </c>
      <c r="BX19" s="5">
        <v>6</v>
      </c>
      <c r="BY19" s="5">
        <v>15</v>
      </c>
      <c r="BZ19" s="34">
        <v>4</v>
      </c>
      <c r="CA19" s="34">
        <v>3</v>
      </c>
      <c r="CB19" s="34">
        <v>3</v>
      </c>
      <c r="CC19" s="34">
        <v>3</v>
      </c>
      <c r="CD19" s="34">
        <v>2</v>
      </c>
      <c r="CE19" s="34">
        <v>1</v>
      </c>
      <c r="CF19" s="34">
        <v>1</v>
      </c>
      <c r="CG19" s="34">
        <v>1</v>
      </c>
      <c r="CH19" s="34">
        <v>1</v>
      </c>
      <c r="CI19" s="34" t="str">
        <f t="shared" si="6"/>
        <v>"SORCERER-17" : {
"Capacities":["Métamagie"],
"MinorSpellsNb": 6,
"SpellsNb": 15,
"Specials": 17,
"Locations": {
"1":4,
"2":3,
"3":3,
"4":3,
"5":2,
"6":1,
"7":1,
"8":1,
"9":1}
}</v>
      </c>
      <c r="CJ19" s="131">
        <v>6</v>
      </c>
      <c r="CK19" s="34"/>
      <c r="CL19" s="90">
        <v>3</v>
      </c>
      <c r="CM19" s="90">
        <v>11</v>
      </c>
      <c r="CN19" s="90">
        <v>4</v>
      </c>
      <c r="CO19" s="90">
        <v>3</v>
      </c>
      <c r="CP19" s="90">
        <v>3</v>
      </c>
      <c r="CQ19" s="90">
        <v>0</v>
      </c>
      <c r="CR19" s="132" t="str">
        <f t="shared" si="7"/>
        <v>"WARRIOR-17" : {
"Capacities":[],
"MinorSpellsNb": 3,
"SpellsNb": 11,
"Locations": {
"1":4,
"2":3,
"3":3,
"4":0}
}</v>
      </c>
      <c r="CS19" s="5">
        <v>6</v>
      </c>
      <c r="CT19" s="34"/>
      <c r="CU19" s="5">
        <v>5</v>
      </c>
      <c r="CV19" s="5">
        <v>4</v>
      </c>
      <c r="CW19" s="5">
        <v>3</v>
      </c>
      <c r="CX19" s="5">
        <v>3</v>
      </c>
      <c r="CY19" s="5">
        <v>3</v>
      </c>
      <c r="CZ19" s="5">
        <v>2</v>
      </c>
      <c r="DA19" s="5">
        <v>1</v>
      </c>
      <c r="DB19" s="5">
        <v>1</v>
      </c>
      <c r="DC19" s="5">
        <v>1</v>
      </c>
      <c r="DD19" s="5">
        <v>1</v>
      </c>
      <c r="DE19" s="5" t="str">
        <f t="shared" si="8"/>
        <v>"MAGICIAN-17" : {
"Capacities":[],
"MinorSpellsNb": 5,
"Locations": {
"1":4,
"2":3,
"3":3,
"4":3,
"5":2,
"6":1,
"7":1,
"8":1,
"9":1}
}</v>
      </c>
      <c r="DF19" s="139">
        <v>6</v>
      </c>
      <c r="DG19" s="115" t="s">
        <v>173</v>
      </c>
      <c r="DH19" s="115">
        <v>17</v>
      </c>
      <c r="DI19" s="169">
        <v>7.5</v>
      </c>
      <c r="DJ19" s="169" t="s">
        <v>4074</v>
      </c>
      <c r="DK19" s="144" t="s">
        <v>3023</v>
      </c>
      <c r="DL19" s="128" t="str">
        <f t="shared" si="9"/>
        <v>"MONK-17" : {
"Capacities":["Capacité de la tradition monastique"],
"Specials": 17,
"BonusAttack": "1d10",
"ArmourlessSpeed": 7.5,
"ArmourlessCategories": ["1_LIGHT", "2_MID", "3_HEAVY"]
}</v>
      </c>
      <c r="DM19" s="90">
        <v>6</v>
      </c>
      <c r="DN19" s="80" t="s">
        <v>6109</v>
      </c>
      <c r="DO19" s="90">
        <v>4</v>
      </c>
      <c r="DP19" s="90">
        <v>7</v>
      </c>
      <c r="DQ19" s="90">
        <v>64</v>
      </c>
      <c r="DR19" s="90">
        <v>7</v>
      </c>
      <c r="DS19" s="128" t="str">
        <f t="shared" si="14"/>
        <v>"MYSTICAL-17" : {
"Capacities":["Maîtrise psionique"],
"Specials": 64,
"BonusAttack": 4
}</v>
      </c>
      <c r="DT19" s="131">
        <v>6</v>
      </c>
      <c r="DU19" s="34"/>
      <c r="DV19" s="34">
        <v>8</v>
      </c>
      <c r="DW19" s="34" t="s">
        <v>3265</v>
      </c>
      <c r="DX19" s="5">
        <v>4</v>
      </c>
      <c r="DY19" s="5">
        <v>3</v>
      </c>
      <c r="DZ19" s="5">
        <v>3</v>
      </c>
      <c r="EA19" s="5">
        <v>3</v>
      </c>
      <c r="EB19" s="5">
        <v>1</v>
      </c>
      <c r="EC19" s="135" t="str">
        <f t="shared" si="10"/>
        <v>"PALADIN-17" : {
"Capacities":[],
"SpellsNb": 8,
"SpellsNbBonus": "CHA",
"Locations": {
"1":4,
"2":3,
"3":3,
"4":3,
"5":1}
}</v>
      </c>
      <c r="ED19" s="5">
        <v>6</v>
      </c>
      <c r="EE19" s="34"/>
      <c r="EF19" s="5">
        <v>10</v>
      </c>
      <c r="EG19" s="5">
        <v>4</v>
      </c>
      <c r="EH19" s="5">
        <v>3</v>
      </c>
      <c r="EI19" s="5">
        <v>3</v>
      </c>
      <c r="EJ19" s="5">
        <v>3</v>
      </c>
      <c r="EK19" s="5">
        <v>1</v>
      </c>
      <c r="EL19" s="5" t="str">
        <f t="shared" si="11"/>
        <v>"PROWLER-17" : {
"Capacities":[],
"SpellsNb":10,
"Locations": {
"1":4,
"2":3,
"3":3,
"4":3,
"5":1}
}</v>
      </c>
      <c r="EM19" s="131">
        <v>6</v>
      </c>
      <c r="EN19" s="5" t="s">
        <v>1008</v>
      </c>
      <c r="EO19" s="34" t="s">
        <v>2990</v>
      </c>
      <c r="EP19" s="90">
        <v>4</v>
      </c>
      <c r="EQ19" s="90">
        <v>11</v>
      </c>
      <c r="ER19" s="90">
        <v>4</v>
      </c>
      <c r="ES19" s="90">
        <v>3</v>
      </c>
      <c r="ET19" s="90">
        <v>3</v>
      </c>
      <c r="EU19" s="90">
        <v>0</v>
      </c>
      <c r="EV19" s="132" t="str">
        <f t="shared" si="12"/>
        <v>"WILY-17" : {
"Capacities":["Capacité de l'archétype de roublard"],
"BonusAttack": "9d6",
"MinorSpellsNb": 4,
"SpellsNb": 11,
"Locations": {
"1":4,
"2":3,
"3":3,
"4":0
}
}</v>
      </c>
      <c r="EW19" s="5">
        <v>6</v>
      </c>
      <c r="EX19" s="34" t="s">
        <v>2982</v>
      </c>
      <c r="EY19" s="5">
        <v>4</v>
      </c>
      <c r="EZ19" s="5">
        <v>14</v>
      </c>
      <c r="FA19" s="5">
        <v>4</v>
      </c>
      <c r="FB19" s="5">
        <v>5</v>
      </c>
      <c r="FC19" s="5">
        <v>7</v>
      </c>
      <c r="FD19" s="116" t="str">
        <f t="shared" si="13"/>
        <v>"WIZARD-17" : {
"Capacities":["Arcanum mystique (niveau 9)"],
"MinorSpellsNb": 4,
"SpellsNb": 14,
"Locations": {"5":4},
"Invocations": 7
}</v>
      </c>
    </row>
    <row r="20" spans="1:160" ht="15" customHeight="1">
      <c r="A20" s="124">
        <v>18</v>
      </c>
      <c r="B20" s="91">
        <v>6</v>
      </c>
      <c r="C20" s="78" t="s">
        <v>5964</v>
      </c>
      <c r="D20" s="91">
        <v>12</v>
      </c>
      <c r="E20" s="91">
        <v>6</v>
      </c>
      <c r="F20" s="91">
        <v>4</v>
      </c>
      <c r="G20" s="91">
        <v>4</v>
      </c>
      <c r="H20" s="91">
        <v>3</v>
      </c>
      <c r="I20" s="91">
        <v>3</v>
      </c>
      <c r="J20" s="91">
        <v>3</v>
      </c>
      <c r="K20" s="91">
        <v>1</v>
      </c>
      <c r="L20" s="132" t="str">
        <f t="shared" si="0"/>
        <v>"ARTIFICER-18" : {
"Capacities":["Maître des objets magiques"],
"MinorSpellsNb": 4,
"Locations": {
"1":4,
"2":3,
"3":3,
"4":3,
"5":1},
"Impregnation": 12,
"ImpregnatedObjects": 6
}</v>
      </c>
      <c r="M20" s="91">
        <v>6</v>
      </c>
      <c r="N20" s="78" t="s">
        <v>3059</v>
      </c>
      <c r="O20" s="91">
        <v>5</v>
      </c>
      <c r="P20" s="78">
        <v>4</v>
      </c>
      <c r="Q20" s="78">
        <v>3</v>
      </c>
      <c r="R20" s="78">
        <v>3</v>
      </c>
      <c r="S20" s="78">
        <v>3</v>
      </c>
      <c r="T20" s="78">
        <v>3</v>
      </c>
      <c r="U20" s="78">
        <v>1</v>
      </c>
      <c r="V20" s="78">
        <v>1</v>
      </c>
      <c r="W20" s="78">
        <v>1</v>
      </c>
      <c r="X20" s="78">
        <v>1</v>
      </c>
      <c r="Y20" s="80" t="str">
        <f t="shared" si="1"/>
        <v>"CLERK-18" : {
"Capacities":["Canalisation d’énergie divine (3)"],
"MinorSpellsNb": 5,
"Locations": {
"1":4,
"2":3,
"3":3,
"4":3,
"5":3,
"6":1,
"7":1,
"8":1,
"9":1}
}</v>
      </c>
      <c r="Z20" s="4">
        <v>6</v>
      </c>
      <c r="AA20" s="31" t="s">
        <v>2972</v>
      </c>
      <c r="AB20" s="4">
        <v>6</v>
      </c>
      <c r="AC20" s="4">
        <v>4</v>
      </c>
      <c r="AD20" s="170">
        <v>3</v>
      </c>
      <c r="AE20" s="170" t="s">
        <v>4072</v>
      </c>
      <c r="AF20" s="142" t="str">
        <f t="shared" si="2"/>
        <v>"BARBARIAN-18": {
"Capacities": ["Puissance indomptable"],
"Specials": 6,
"Damages": 4,
"ArmourlessSpeed": 3,
"ArmourlessCategories": ["3_HEAVY"]
}</v>
      </c>
      <c r="AG20" s="133">
        <v>6</v>
      </c>
      <c r="AH20" s="31" t="s">
        <v>3067</v>
      </c>
      <c r="AI20" s="4">
        <v>4</v>
      </c>
      <c r="AJ20" s="4">
        <v>22</v>
      </c>
      <c r="AK20" s="31">
        <v>4</v>
      </c>
      <c r="AL20" s="31">
        <v>3</v>
      </c>
      <c r="AM20" s="31">
        <v>3</v>
      </c>
      <c r="AN20" s="31">
        <v>3</v>
      </c>
      <c r="AO20" s="31">
        <v>3</v>
      </c>
      <c r="AP20" s="31">
        <v>1</v>
      </c>
      <c r="AQ20" s="31">
        <v>1</v>
      </c>
      <c r="AR20" s="31">
        <v>1</v>
      </c>
      <c r="AS20" s="31">
        <v>1</v>
      </c>
      <c r="AT20" s="132" t="str">
        <f t="shared" si="3"/>
        <v>"BARD-18" : {
"Capacities":["Secrets magiques"],
"MinorSpellsNb": 4,
"SpellsNb": 22,
"Locations": {
"1":4,
"2":3,
"3":3,
"4":3,
"5":3,
"6":1,
"7":1,
"8":1,
"9":1}
}</v>
      </c>
      <c r="AU20" s="91">
        <v>6</v>
      </c>
      <c r="AV20" s="78" t="s">
        <v>3059</v>
      </c>
      <c r="AW20" s="91">
        <v>5</v>
      </c>
      <c r="AX20" s="78">
        <v>4</v>
      </c>
      <c r="AY20" s="78">
        <v>3</v>
      </c>
      <c r="AZ20" s="78">
        <v>3</v>
      </c>
      <c r="BA20" s="78">
        <v>3</v>
      </c>
      <c r="BB20" s="78">
        <v>3</v>
      </c>
      <c r="BC20" s="78">
        <v>1</v>
      </c>
      <c r="BD20" s="78">
        <v>1</v>
      </c>
      <c r="BE20" s="78">
        <v>1</v>
      </c>
      <c r="BF20" s="78">
        <v>1</v>
      </c>
      <c r="BG20" s="80" t="str">
        <f t="shared" si="4"/>
        <v>"CLERK-18" : {
"Capacities":["Canalisation d’énergie divine (3)"],
"MinorSpellsNb": 5,
"Locations": {
"1":4,
"2":3,
"3":3,
"4":3,
"5":3,
"6":1,
"7":1,
"8":1,
"9":1}
}</v>
      </c>
      <c r="BH20" s="133">
        <v>6</v>
      </c>
      <c r="BI20" s="31" t="s">
        <v>3049</v>
      </c>
      <c r="BJ20" s="4">
        <v>4</v>
      </c>
      <c r="BK20" s="31">
        <v>4</v>
      </c>
      <c r="BL20" s="31">
        <v>3</v>
      </c>
      <c r="BM20" s="31">
        <v>3</v>
      </c>
      <c r="BN20" s="31">
        <v>3</v>
      </c>
      <c r="BO20" s="31">
        <v>3</v>
      </c>
      <c r="BP20" s="31">
        <v>1</v>
      </c>
      <c r="BQ20" s="31">
        <v>1</v>
      </c>
      <c r="BR20" s="31">
        <v>1</v>
      </c>
      <c r="BS20" s="31">
        <v>1</v>
      </c>
      <c r="BT20" s="132" t="str">
        <f t="shared" si="5"/>
        <v>"DRUID-18" : {
"Capacities":["Jeunesse éternelle", "Incantation animale"],
"MinorSpellsNb": 4,
"Locations": {
"1":4,
"2":3,
"3":3,
"4":3,
"5":3,
"6":1,
"7":1,
"8":1,
"9":1}
}</v>
      </c>
      <c r="BU20" s="4">
        <v>6</v>
      </c>
      <c r="BV20" s="4">
        <v>18</v>
      </c>
      <c r="BW20" s="31" t="s">
        <v>3043</v>
      </c>
      <c r="BX20" s="4">
        <v>6</v>
      </c>
      <c r="BY20" s="4">
        <v>15</v>
      </c>
      <c r="BZ20" s="31">
        <v>4</v>
      </c>
      <c r="CA20" s="31">
        <v>3</v>
      </c>
      <c r="CB20" s="31">
        <v>3</v>
      </c>
      <c r="CC20" s="31">
        <v>3</v>
      </c>
      <c r="CD20" s="31">
        <v>3</v>
      </c>
      <c r="CE20" s="31">
        <v>1</v>
      </c>
      <c r="CF20" s="31">
        <v>1</v>
      </c>
      <c r="CG20" s="31">
        <v>1</v>
      </c>
      <c r="CH20" s="31">
        <v>1</v>
      </c>
      <c r="CI20" s="34" t="str">
        <f t="shared" si="6"/>
        <v>"SORCERER-18" : {
"Capacities":["Capacité de l'origine magique"],
"MinorSpellsNb": 6,
"SpellsNb": 15,
"Specials": 18,
"Locations": {
"1":4,
"2":3,
"3":3,
"4":3,
"5":3,
"6":1,
"7":1,
"8":1,
"9":1}
}</v>
      </c>
      <c r="CJ20" s="133">
        <v>6</v>
      </c>
      <c r="CK20" s="31" t="s">
        <v>3037</v>
      </c>
      <c r="CL20" s="91">
        <v>3</v>
      </c>
      <c r="CM20" s="91">
        <v>11</v>
      </c>
      <c r="CN20" s="91">
        <v>4</v>
      </c>
      <c r="CO20" s="91">
        <v>3</v>
      </c>
      <c r="CP20" s="91">
        <v>3</v>
      </c>
      <c r="CQ20" s="91">
        <v>0</v>
      </c>
      <c r="CR20" s="132" t="str">
        <f t="shared" si="7"/>
        <v>"WARRIOR-18" : {
"Capacities":["Capacité de l'archétype martial"],
"MinorSpellsNb": 3,
"SpellsNb": 11,
"Locations": {
"1":4,
"2":3,
"3":3,
"4":0}
}</v>
      </c>
      <c r="CS20" s="4">
        <v>6</v>
      </c>
      <c r="CT20" s="31" t="s">
        <v>3032</v>
      </c>
      <c r="CU20" s="4">
        <v>5</v>
      </c>
      <c r="CV20" s="4">
        <v>4</v>
      </c>
      <c r="CW20" s="4">
        <v>3</v>
      </c>
      <c r="CX20" s="4">
        <v>3</v>
      </c>
      <c r="CY20" s="4">
        <v>3</v>
      </c>
      <c r="CZ20" s="4">
        <v>3</v>
      </c>
      <c r="DA20" s="4">
        <v>1</v>
      </c>
      <c r="DB20" s="4">
        <v>1</v>
      </c>
      <c r="DC20" s="4">
        <v>1</v>
      </c>
      <c r="DD20" s="4">
        <v>1</v>
      </c>
      <c r="DE20" s="5" t="str">
        <f t="shared" si="8"/>
        <v>"MAGICIAN-18" : {
"Capacities":["Maîtrise des sorts"],
"MinorSpellsNb": 5,
"Locations": {
"1":4,
"2":3,
"3":3,
"4":3,
"5":3,
"6":1,
"7":1,
"8":1,
"9":1}
}</v>
      </c>
      <c r="DF20" s="140">
        <v>6</v>
      </c>
      <c r="DG20" s="117" t="s">
        <v>173</v>
      </c>
      <c r="DH20" s="117">
        <v>18</v>
      </c>
      <c r="DI20" s="170">
        <v>9</v>
      </c>
      <c r="DJ20" s="170" t="s">
        <v>4074</v>
      </c>
      <c r="DK20" s="145" t="s">
        <v>3027</v>
      </c>
      <c r="DL20" s="128" t="str">
        <f t="shared" si="9"/>
        <v>"MONK-18" : {
"Capacities":["Corps vide"],
"Specials": 18,
"BonusAttack": "1d10",
"ArmourlessSpeed": 9,
"ArmourlessCategories": ["1_LIGHT", "2_MID", "3_HEAVY"]
}</v>
      </c>
      <c r="DM20" s="91">
        <v>6</v>
      </c>
      <c r="DN20" s="78"/>
      <c r="DO20" s="91">
        <v>4</v>
      </c>
      <c r="DP20" s="91">
        <v>8</v>
      </c>
      <c r="DQ20" s="91">
        <v>71</v>
      </c>
      <c r="DR20" s="91">
        <v>7</v>
      </c>
      <c r="DS20" s="128" t="str">
        <f t="shared" si="14"/>
        <v>"MYSTICAL-18" : {
"Capacities":[],
"Specials": 71,
"BonusAttack": 4
}</v>
      </c>
      <c r="DT20" s="133">
        <v>6</v>
      </c>
      <c r="DU20" s="31" t="s">
        <v>3015</v>
      </c>
      <c r="DV20" s="31">
        <v>9</v>
      </c>
      <c r="DW20" s="31" t="s">
        <v>3265</v>
      </c>
      <c r="DX20" s="4">
        <v>4</v>
      </c>
      <c r="DY20" s="4">
        <v>3</v>
      </c>
      <c r="DZ20" s="4">
        <v>3</v>
      </c>
      <c r="EA20" s="4">
        <v>3</v>
      </c>
      <c r="EB20" s="4">
        <v>1</v>
      </c>
      <c r="EC20" s="135" t="str">
        <f t="shared" si="10"/>
        <v>"PALADIN-18" : {
"Capacities":["Amélioration des auras"],
"SpellsNb": 9,
"SpellsNbBonus": "CHA",
"Locations": {
"1":4,
"2":3,
"3":3,
"4":3,
"5":1}
}</v>
      </c>
      <c r="ED20" s="4">
        <v>6</v>
      </c>
      <c r="EE20" s="31" t="s">
        <v>3005</v>
      </c>
      <c r="EF20" s="4">
        <v>10</v>
      </c>
      <c r="EG20" s="4">
        <v>4</v>
      </c>
      <c r="EH20" s="4">
        <v>3</v>
      </c>
      <c r="EI20" s="4">
        <v>3</v>
      </c>
      <c r="EJ20" s="4">
        <v>3</v>
      </c>
      <c r="EK20" s="4">
        <v>1</v>
      </c>
      <c r="EL20" s="5" t="str">
        <f t="shared" si="11"/>
        <v>"PROWLER-18" : {
"Capacities":["Sens sauvages"],
"SpellsNb":10,
"Locations": {
"1":4,
"2":3,
"3":3,
"4":3,
"5":1}
}</v>
      </c>
      <c r="EM20" s="133">
        <v>6</v>
      </c>
      <c r="EN20" s="4" t="s">
        <v>1008</v>
      </c>
      <c r="EO20" s="31" t="s">
        <v>2994</v>
      </c>
      <c r="EP20" s="91">
        <v>4</v>
      </c>
      <c r="EQ20" s="91">
        <v>11</v>
      </c>
      <c r="ER20" s="91">
        <v>4</v>
      </c>
      <c r="ES20" s="91">
        <v>3</v>
      </c>
      <c r="ET20" s="91">
        <v>3</v>
      </c>
      <c r="EU20" s="91">
        <v>0</v>
      </c>
      <c r="EV20" s="132" t="str">
        <f t="shared" si="12"/>
        <v>"WILY-18" : {
"Capacities":["Insaisissable"],
"BonusAttack": "9d6",
"MinorSpellsNb": 4,
"SpellsNb": 11,
"Locations": {
"1":4,
"2":3,
"3":3,
"4":0
}
}</v>
      </c>
      <c r="EW20" s="4">
        <v>6</v>
      </c>
      <c r="EX20" s="31" t="s">
        <v>2977</v>
      </c>
      <c r="EY20" s="4">
        <v>4</v>
      </c>
      <c r="EZ20" s="4">
        <v>14</v>
      </c>
      <c r="FA20" s="4">
        <v>4</v>
      </c>
      <c r="FB20" s="4">
        <v>5</v>
      </c>
      <c r="FC20" s="4">
        <v>8</v>
      </c>
      <c r="FD20" s="116" t="str">
        <f t="shared" si="13"/>
        <v>"WIZARD-18" : {
"Capacities":["-"],
"MinorSpellsNb": 4,
"SpellsNb": 14,
"Locations": {"5":4},
"Invocations": 8
}</v>
      </c>
    </row>
    <row r="21" spans="1:160" ht="15" customHeight="1">
      <c r="A21" s="123">
        <v>19</v>
      </c>
      <c r="B21" s="90">
        <v>6</v>
      </c>
      <c r="C21" s="80" t="s">
        <v>2963</v>
      </c>
      <c r="D21" s="90">
        <v>12</v>
      </c>
      <c r="E21" s="90">
        <v>6</v>
      </c>
      <c r="F21" s="90">
        <v>4</v>
      </c>
      <c r="G21" s="90">
        <v>4</v>
      </c>
      <c r="H21" s="90">
        <v>3</v>
      </c>
      <c r="I21" s="90">
        <v>3</v>
      </c>
      <c r="J21" s="90">
        <v>3</v>
      </c>
      <c r="K21" s="90">
        <v>2</v>
      </c>
      <c r="L21" s="132" t="str">
        <f t="shared" si="0"/>
        <v>"ARTIFICER-19" : {
"Capacities":["Amélioration de caractéristiques"],
"MinorSpellsNb": 4,
"Locations": {
"1":4,
"2":3,
"3":3,
"4":3,
"5":2},
"Impregnation": 12,
"ImpregnatedObjects": 6
}</v>
      </c>
      <c r="M21" s="90">
        <v>6</v>
      </c>
      <c r="N21" s="80" t="s">
        <v>2963</v>
      </c>
      <c r="O21" s="90">
        <v>5</v>
      </c>
      <c r="P21" s="80">
        <v>4</v>
      </c>
      <c r="Q21" s="80">
        <v>3</v>
      </c>
      <c r="R21" s="80">
        <v>3</v>
      </c>
      <c r="S21" s="80">
        <v>3</v>
      </c>
      <c r="T21" s="80">
        <v>3</v>
      </c>
      <c r="U21" s="80">
        <v>2</v>
      </c>
      <c r="V21" s="80">
        <v>1</v>
      </c>
      <c r="W21" s="80">
        <v>1</v>
      </c>
      <c r="X21" s="80">
        <v>1</v>
      </c>
      <c r="Y21" s="80" t="str">
        <f t="shared" si="1"/>
        <v>"CLERK-19" : {
"Capacities":["Amélioration de caractéristiques"],
"MinorSpellsNb": 5,
"Locations": {
"1":4,
"2":3,
"3":3,
"4":3,
"5":3,
"6":2,
"7":1,
"8":1,
"9":1}
}</v>
      </c>
      <c r="Z21" s="5">
        <v>6</v>
      </c>
      <c r="AA21" s="34" t="s">
        <v>2963</v>
      </c>
      <c r="AB21" s="5">
        <v>6</v>
      </c>
      <c r="AC21" s="5">
        <v>4</v>
      </c>
      <c r="AD21" s="169">
        <v>3</v>
      </c>
      <c r="AE21" s="169" t="s">
        <v>4072</v>
      </c>
      <c r="AF21" s="142" t="str">
        <f t="shared" si="2"/>
        <v>"BARBARIAN-19": {
"Capacities": ["Amélioration de caractéristiques"],
"Specials": 6,
"Damages": 4,
"ArmourlessSpeed": 3,
"ArmourlessCategories": ["3_HEAVY"]
}</v>
      </c>
      <c r="AG21" s="131">
        <v>6</v>
      </c>
      <c r="AH21" s="34" t="s">
        <v>2963</v>
      </c>
      <c r="AI21" s="5">
        <v>4</v>
      </c>
      <c r="AJ21" s="5">
        <v>22</v>
      </c>
      <c r="AK21" s="34">
        <v>4</v>
      </c>
      <c r="AL21" s="34">
        <v>3</v>
      </c>
      <c r="AM21" s="34">
        <v>3</v>
      </c>
      <c r="AN21" s="34">
        <v>3</v>
      </c>
      <c r="AO21" s="34">
        <v>3</v>
      </c>
      <c r="AP21" s="34">
        <v>2</v>
      </c>
      <c r="AQ21" s="34">
        <v>1</v>
      </c>
      <c r="AR21" s="34">
        <v>1</v>
      </c>
      <c r="AS21" s="34">
        <v>1</v>
      </c>
      <c r="AT21" s="132" t="str">
        <f t="shared" si="3"/>
        <v>"BARD-19" : {
"Capacities":["Amélioration de caractéristiques"],
"MinorSpellsNb": 4,
"SpellsNb": 22,
"Locations": {
"1":4,
"2":3,
"3":3,
"4":3,
"5":3,
"6":2,
"7":1,
"8":1,
"9":1}
}</v>
      </c>
      <c r="AU21" s="90">
        <v>6</v>
      </c>
      <c r="AV21" s="80" t="s">
        <v>2963</v>
      </c>
      <c r="AW21" s="90">
        <v>5</v>
      </c>
      <c r="AX21" s="80">
        <v>4</v>
      </c>
      <c r="AY21" s="80">
        <v>3</v>
      </c>
      <c r="AZ21" s="80">
        <v>3</v>
      </c>
      <c r="BA21" s="80">
        <v>3</v>
      </c>
      <c r="BB21" s="80">
        <v>3</v>
      </c>
      <c r="BC21" s="80">
        <v>2</v>
      </c>
      <c r="BD21" s="80">
        <v>1</v>
      </c>
      <c r="BE21" s="80">
        <v>1</v>
      </c>
      <c r="BF21" s="80">
        <v>1</v>
      </c>
      <c r="BG21" s="80" t="str">
        <f t="shared" si="4"/>
        <v>"CLERK-19" : {
"Capacities":["Amélioration de caractéristiques"],
"MinorSpellsNb": 5,
"Locations": {
"1":4,
"2":3,
"3":3,
"4":3,
"5":3,
"6":2,
"7":1,
"8":1,
"9":1}
}</v>
      </c>
      <c r="BH21" s="131">
        <v>6</v>
      </c>
      <c r="BI21" s="34" t="s">
        <v>2963</v>
      </c>
      <c r="BJ21" s="5">
        <v>4</v>
      </c>
      <c r="BK21" s="34">
        <v>4</v>
      </c>
      <c r="BL21" s="34">
        <v>3</v>
      </c>
      <c r="BM21" s="34">
        <v>3</v>
      </c>
      <c r="BN21" s="34">
        <v>3</v>
      </c>
      <c r="BO21" s="34">
        <v>3</v>
      </c>
      <c r="BP21" s="34">
        <v>2</v>
      </c>
      <c r="BQ21" s="34">
        <v>1</v>
      </c>
      <c r="BR21" s="34">
        <v>1</v>
      </c>
      <c r="BS21" s="34">
        <v>1</v>
      </c>
      <c r="BT21" s="132" t="str">
        <f t="shared" si="5"/>
        <v>"DRUID-19" : {
"Capacities":["Amélioration de caractéristiques"],
"MinorSpellsNb": 4,
"Locations": {
"1":4,
"2":3,
"3":3,
"4":3,
"5":3,
"6":2,
"7":1,
"8":1,
"9":1}
}</v>
      </c>
      <c r="BU21" s="5">
        <v>6</v>
      </c>
      <c r="BV21" s="5">
        <v>19</v>
      </c>
      <c r="BW21" s="34" t="s">
        <v>2963</v>
      </c>
      <c r="BX21" s="5">
        <v>6</v>
      </c>
      <c r="BY21" s="5">
        <v>15</v>
      </c>
      <c r="BZ21" s="34">
        <v>4</v>
      </c>
      <c r="CA21" s="34">
        <v>3</v>
      </c>
      <c r="CB21" s="34">
        <v>3</v>
      </c>
      <c r="CC21" s="34">
        <v>3</v>
      </c>
      <c r="CD21" s="34">
        <v>3</v>
      </c>
      <c r="CE21" s="34">
        <v>2</v>
      </c>
      <c r="CF21" s="34">
        <v>1</v>
      </c>
      <c r="CG21" s="34">
        <v>1</v>
      </c>
      <c r="CH21" s="34">
        <v>1</v>
      </c>
      <c r="CI21" s="34" t="str">
        <f t="shared" si="6"/>
        <v>"SORCERER-19" : {
"Capacities":["Amélioration de caractéristiques"],
"MinorSpellsNb": 6,
"SpellsNb": 15,
"Specials": 19,
"Locations": {
"1":4,
"2":3,
"3":3,
"4":3,
"5":3,
"6":2,
"7":1,
"8":1,
"9":1}
}</v>
      </c>
      <c r="CJ21" s="131">
        <v>6</v>
      </c>
      <c r="CK21" s="34" t="s">
        <v>2963</v>
      </c>
      <c r="CL21" s="90">
        <v>3</v>
      </c>
      <c r="CM21" s="90">
        <v>12</v>
      </c>
      <c r="CN21" s="90">
        <v>4</v>
      </c>
      <c r="CO21" s="90">
        <v>3</v>
      </c>
      <c r="CP21" s="90">
        <v>3</v>
      </c>
      <c r="CQ21" s="90">
        <v>1</v>
      </c>
      <c r="CR21" s="132" t="str">
        <f t="shared" si="7"/>
        <v>"WARRIOR-19" : {
"Capacities":["Amélioration de caractéristiques"],
"MinorSpellsNb": 3,
"SpellsNb": 12,
"Locations": {
"1":4,
"2":3,
"3":3,
"4":1}
}</v>
      </c>
      <c r="CS21" s="5">
        <v>6</v>
      </c>
      <c r="CT21" s="34" t="s">
        <v>2963</v>
      </c>
      <c r="CU21" s="5">
        <v>5</v>
      </c>
      <c r="CV21" s="5">
        <v>4</v>
      </c>
      <c r="CW21" s="5">
        <v>3</v>
      </c>
      <c r="CX21" s="5">
        <v>3</v>
      </c>
      <c r="CY21" s="5">
        <v>3</v>
      </c>
      <c r="CZ21" s="5">
        <v>3</v>
      </c>
      <c r="DA21" s="5">
        <v>2</v>
      </c>
      <c r="DB21" s="5">
        <v>1</v>
      </c>
      <c r="DC21" s="5">
        <v>1</v>
      </c>
      <c r="DD21" s="5">
        <v>1</v>
      </c>
      <c r="DE21" s="5" t="str">
        <f t="shared" si="8"/>
        <v>"MAGICIAN-19" : {
"Capacities":["Amélioration de caractéristiques"],
"MinorSpellsNb": 5,
"Locations": {
"1":4,
"2":3,
"3":3,
"4":3,
"5":3,
"6":2,
"7":1,
"8":1,
"9":1}
}</v>
      </c>
      <c r="DF21" s="139">
        <v>6</v>
      </c>
      <c r="DG21" s="115" t="s">
        <v>173</v>
      </c>
      <c r="DH21" s="115">
        <v>19</v>
      </c>
      <c r="DI21" s="169">
        <v>9</v>
      </c>
      <c r="DJ21" s="169" t="s">
        <v>4074</v>
      </c>
      <c r="DK21" s="144" t="s">
        <v>2963</v>
      </c>
      <c r="DL21" s="128" t="str">
        <f t="shared" si="9"/>
        <v>"MONK-19" : {
"Capacities":["Amélioration de caractéristiques"],
"Specials": 19,
"BonusAttack": "1d10",
"ArmourlessSpeed": 9,
"ArmourlessCategories": ["1_LIGHT", "2_MID", "3_HEAVY"]
}</v>
      </c>
      <c r="DM21" s="90">
        <v>6</v>
      </c>
      <c r="DN21" s="80" t="s">
        <v>2963</v>
      </c>
      <c r="DO21" s="90">
        <v>4</v>
      </c>
      <c r="DP21" s="90">
        <v>8</v>
      </c>
      <c r="DQ21" s="90">
        <v>71</v>
      </c>
      <c r="DR21" s="90">
        <v>7</v>
      </c>
      <c r="DS21" s="128" t="str">
        <f t="shared" si="14"/>
        <v>"MYSTICAL-19" : {
"Capacities":["Amélioration de caractéristiques"],
"Specials": 71,
"BonusAttack": 4
}</v>
      </c>
      <c r="DT21" s="131">
        <v>6</v>
      </c>
      <c r="DU21" s="34" t="s">
        <v>2963</v>
      </c>
      <c r="DV21" s="34">
        <v>9</v>
      </c>
      <c r="DW21" s="34" t="s">
        <v>3265</v>
      </c>
      <c r="DX21" s="5">
        <v>4</v>
      </c>
      <c r="DY21" s="5">
        <v>3</v>
      </c>
      <c r="DZ21" s="5">
        <v>3</v>
      </c>
      <c r="EA21" s="5">
        <v>3</v>
      </c>
      <c r="EB21" s="5">
        <v>2</v>
      </c>
      <c r="EC21" s="135" t="str">
        <f t="shared" si="10"/>
        <v>"PALADIN-19" : {
"Capacities":["Amélioration de caractéristiques"],
"SpellsNb": 9,
"SpellsNbBonus": "CHA",
"Locations": {
"1":4,
"2":3,
"3":3,
"4":3,
"5":2}
}</v>
      </c>
      <c r="ED21" s="5">
        <v>6</v>
      </c>
      <c r="EE21" s="34" t="s">
        <v>2963</v>
      </c>
      <c r="EF21" s="5">
        <v>11</v>
      </c>
      <c r="EG21" s="5">
        <v>4</v>
      </c>
      <c r="EH21" s="5">
        <v>3</v>
      </c>
      <c r="EI21" s="5">
        <v>3</v>
      </c>
      <c r="EJ21" s="5">
        <v>3</v>
      </c>
      <c r="EK21" s="5">
        <v>2</v>
      </c>
      <c r="EL21" s="5" t="str">
        <f t="shared" si="11"/>
        <v>"PROWLER-19" : {
"Capacities":["Amélioration de caractéristiques"],
"SpellsNb":11,
"Locations": {
"1":4,
"2":3,
"3":3,
"4":3,
"5":2}
}</v>
      </c>
      <c r="EM21" s="131">
        <v>6</v>
      </c>
      <c r="EN21" s="5" t="s">
        <v>1009</v>
      </c>
      <c r="EO21" s="34" t="s">
        <v>2963</v>
      </c>
      <c r="EP21" s="90">
        <v>4</v>
      </c>
      <c r="EQ21" s="90">
        <v>12</v>
      </c>
      <c r="ER21" s="90">
        <v>4</v>
      </c>
      <c r="ES21" s="90">
        <v>3</v>
      </c>
      <c r="ET21" s="90">
        <v>3</v>
      </c>
      <c r="EU21" s="90">
        <v>1</v>
      </c>
      <c r="EV21" s="132" t="str">
        <f t="shared" si="12"/>
        <v>"WILY-19" : {
"Capacities":["Amélioration de caractéristiques"],
"BonusAttack": "10d6",
"MinorSpellsNb": 4,
"SpellsNb": 12,
"Locations": {
"1":4,
"2":3,
"3":3,
"4":1
}
}</v>
      </c>
      <c r="EW21" s="5">
        <v>6</v>
      </c>
      <c r="EX21" s="34" t="s">
        <v>2963</v>
      </c>
      <c r="EY21" s="5">
        <v>4</v>
      </c>
      <c r="EZ21" s="5">
        <v>15</v>
      </c>
      <c r="FA21" s="5">
        <v>4</v>
      </c>
      <c r="FB21" s="5">
        <v>5</v>
      </c>
      <c r="FC21" s="5">
        <v>8</v>
      </c>
      <c r="FD21" s="116" t="str">
        <f t="shared" si="13"/>
        <v>"WIZARD-19" : {
"Capacities":["Amélioration de caractéristiques"],
"MinorSpellsNb": 4,
"SpellsNb": 15,
"Locations": {"5":4},
"Invocations": 8
}</v>
      </c>
    </row>
    <row r="22" spans="1:160" ht="15" customHeight="1">
      <c r="A22" s="125">
        <v>20</v>
      </c>
      <c r="B22" s="91">
        <v>6</v>
      </c>
      <c r="C22" s="78" t="s">
        <v>5965</v>
      </c>
      <c r="D22" s="91">
        <v>12</v>
      </c>
      <c r="E22" s="91">
        <v>6</v>
      </c>
      <c r="F22" s="91">
        <v>4</v>
      </c>
      <c r="G22" s="91">
        <v>4</v>
      </c>
      <c r="H22" s="91">
        <v>3</v>
      </c>
      <c r="I22" s="91">
        <v>3</v>
      </c>
      <c r="J22" s="91">
        <v>3</v>
      </c>
      <c r="K22" s="91">
        <v>2</v>
      </c>
      <c r="L22" s="132" t="str">
        <f t="shared" si="0"/>
        <v>"ARTIFICER-20" : {
"Capacities":["L'artifice dans l'âme"],
"MinorSpellsNb": 4,
"Locations": {
"1":4,
"2":3,
"3":3,
"4":3,
"5":2},
"Impregnation": 12,
"ImpregnatedObjects": 6
}</v>
      </c>
      <c r="M22" s="6">
        <v>6</v>
      </c>
      <c r="N22" s="119" t="s">
        <v>3060</v>
      </c>
      <c r="O22" s="6">
        <v>5</v>
      </c>
      <c r="P22" s="119">
        <v>4</v>
      </c>
      <c r="Q22" s="119">
        <v>3</v>
      </c>
      <c r="R22" s="119">
        <v>3</v>
      </c>
      <c r="S22" s="119">
        <v>3</v>
      </c>
      <c r="T22" s="119">
        <v>3</v>
      </c>
      <c r="U22" s="119">
        <v>2</v>
      </c>
      <c r="V22" s="119">
        <v>2</v>
      </c>
      <c r="W22" s="119">
        <v>1</v>
      </c>
      <c r="X22" s="119">
        <v>1</v>
      </c>
      <c r="Y22" s="80" t="str">
        <f t="shared" si="1"/>
        <v>"CLERK-20" : {
"Capacities":["Intervention divine améliorée"],
"MinorSpellsNb": 5,
"Locations": {
"1":4,
"2":3,
"3":3,
"4":3,
"5":3,
"6":2,
"7":2,
"8":1,
"9":1}
}</v>
      </c>
      <c r="Z22" s="6">
        <v>6</v>
      </c>
      <c r="AA22" s="119" t="s">
        <v>2973</v>
      </c>
      <c r="AB22" s="6">
        <v>-1</v>
      </c>
      <c r="AC22" s="6">
        <v>4</v>
      </c>
      <c r="AD22" s="171">
        <v>3</v>
      </c>
      <c r="AE22" s="170" t="s">
        <v>4072</v>
      </c>
      <c r="AF22" s="142" t="str">
        <f t="shared" si="2"/>
        <v>"BARBARIAN-20": {
"Capacities": ["Champion primitif"],
"Specials": -1,
"Damages": 4,
"ArmourlessSpeed": 3,
"ArmourlessCategories": ["3_HEAVY"]
}</v>
      </c>
      <c r="AG22" s="134">
        <v>6</v>
      </c>
      <c r="AH22" s="119" t="s">
        <v>3068</v>
      </c>
      <c r="AI22" s="6">
        <v>4</v>
      </c>
      <c r="AJ22" s="6">
        <v>22</v>
      </c>
      <c r="AK22" s="119">
        <v>4</v>
      </c>
      <c r="AL22" s="119">
        <v>3</v>
      </c>
      <c r="AM22" s="119">
        <v>3</v>
      </c>
      <c r="AN22" s="119">
        <v>3</v>
      </c>
      <c r="AO22" s="119">
        <v>3</v>
      </c>
      <c r="AP22" s="119">
        <v>2</v>
      </c>
      <c r="AQ22" s="119">
        <v>2</v>
      </c>
      <c r="AR22" s="119">
        <v>1</v>
      </c>
      <c r="AS22" s="119">
        <v>1</v>
      </c>
      <c r="AT22" s="132" t="str">
        <f t="shared" si="3"/>
        <v>"BARD-20" : {
"Capacities":["Inspiration supérieure"],
"MinorSpellsNb": 4,
"SpellsNb": 22,
"Locations": {
"1":4,
"2":3,
"3":3,
"4":3,
"5":3,
"6":2,
"7":2,
"8":1,
"9":1}
}</v>
      </c>
      <c r="AU22" s="6">
        <v>6</v>
      </c>
      <c r="AV22" s="119" t="s">
        <v>3060</v>
      </c>
      <c r="AW22" s="6">
        <v>5</v>
      </c>
      <c r="AX22" s="119">
        <v>4</v>
      </c>
      <c r="AY22" s="119">
        <v>3</v>
      </c>
      <c r="AZ22" s="119">
        <v>3</v>
      </c>
      <c r="BA22" s="119">
        <v>3</v>
      </c>
      <c r="BB22" s="119">
        <v>3</v>
      </c>
      <c r="BC22" s="119">
        <v>2</v>
      </c>
      <c r="BD22" s="119">
        <v>2</v>
      </c>
      <c r="BE22" s="119">
        <v>1</v>
      </c>
      <c r="BF22" s="119">
        <v>1</v>
      </c>
      <c r="BG22" s="80" t="str">
        <f t="shared" si="4"/>
        <v>"CLERK-20" : {
"Capacities":["Intervention divine améliorée"],
"MinorSpellsNb": 5,
"Locations": {
"1":4,
"2":3,
"3":3,
"4":3,
"5":3,
"6":2,
"7":2,
"8":1,
"9":1}
}</v>
      </c>
      <c r="BH22" s="134">
        <v>6</v>
      </c>
      <c r="BI22" s="119" t="s">
        <v>3050</v>
      </c>
      <c r="BJ22" s="6">
        <v>4</v>
      </c>
      <c r="BK22" s="119">
        <v>4</v>
      </c>
      <c r="BL22" s="119">
        <v>3</v>
      </c>
      <c r="BM22" s="119">
        <v>3</v>
      </c>
      <c r="BN22" s="119">
        <v>3</v>
      </c>
      <c r="BO22" s="119">
        <v>3</v>
      </c>
      <c r="BP22" s="119">
        <v>2</v>
      </c>
      <c r="BQ22" s="119">
        <v>2</v>
      </c>
      <c r="BR22" s="119">
        <v>1</v>
      </c>
      <c r="BS22" s="119">
        <v>1</v>
      </c>
      <c r="BT22" s="132" t="str">
        <f t="shared" si="5"/>
        <v>"DRUID-20" : {
"Capacities":["Archidruide"],
"MinorSpellsNb": 4,
"Locations": {
"1":4,
"2":3,
"3":3,
"4":3,
"5":3,
"6":2,
"7":2,
"8":1,
"9":1}
}</v>
      </c>
      <c r="BU22" s="6">
        <v>6</v>
      </c>
      <c r="BV22" s="6">
        <v>20</v>
      </c>
      <c r="BW22" s="119" t="s">
        <v>3044</v>
      </c>
      <c r="BX22" s="6">
        <v>6</v>
      </c>
      <c r="BY22" s="6">
        <v>15</v>
      </c>
      <c r="BZ22" s="119">
        <v>4</v>
      </c>
      <c r="CA22" s="119">
        <v>3</v>
      </c>
      <c r="CB22" s="119">
        <v>3</v>
      </c>
      <c r="CC22" s="119">
        <v>3</v>
      </c>
      <c r="CD22" s="119">
        <v>3</v>
      </c>
      <c r="CE22" s="119">
        <v>2</v>
      </c>
      <c r="CF22" s="119">
        <v>2</v>
      </c>
      <c r="CG22" s="119">
        <v>1</v>
      </c>
      <c r="CH22" s="119">
        <v>1</v>
      </c>
      <c r="CI22" s="34" t="str">
        <f t="shared" si="6"/>
        <v>"SORCERER-20" : {
"Capacities":["Restauration magique"],
"MinorSpellsNb": 6,
"SpellsNb": 15,
"Specials": 20,
"Locations": {
"1":4,
"2":3,
"3":3,
"4":3,
"5":3,
"6":2,
"7":2,
"8":1,
"9":1}
}</v>
      </c>
      <c r="CJ22" s="134">
        <v>6</v>
      </c>
      <c r="CK22" s="119" t="s">
        <v>3039</v>
      </c>
      <c r="CL22" s="91">
        <v>3</v>
      </c>
      <c r="CM22" s="91">
        <v>13</v>
      </c>
      <c r="CN22" s="91">
        <v>4</v>
      </c>
      <c r="CO22" s="91">
        <v>3</v>
      </c>
      <c r="CP22" s="91">
        <v>3</v>
      </c>
      <c r="CQ22" s="91">
        <v>1</v>
      </c>
      <c r="CR22" s="132" t="str">
        <f t="shared" si="7"/>
        <v>"WARRIOR-20" : {
"Capacities":["Attaque supplémentaire (3)"],
"MinorSpellsNb": 3,
"SpellsNb": 13,
"Locations": {
"1":4,
"2":3,
"3":3,
"4":1}
}</v>
      </c>
      <c r="CS22" s="6">
        <v>6</v>
      </c>
      <c r="CT22" s="119" t="s">
        <v>3033</v>
      </c>
      <c r="CU22" s="6">
        <v>5</v>
      </c>
      <c r="CV22" s="6">
        <v>4</v>
      </c>
      <c r="CW22" s="6">
        <v>3</v>
      </c>
      <c r="CX22" s="6">
        <v>3</v>
      </c>
      <c r="CY22" s="6">
        <v>3</v>
      </c>
      <c r="CZ22" s="6">
        <v>3</v>
      </c>
      <c r="DA22" s="6">
        <v>2</v>
      </c>
      <c r="DB22" s="6">
        <v>2</v>
      </c>
      <c r="DC22" s="6">
        <v>1</v>
      </c>
      <c r="DD22" s="6">
        <v>1</v>
      </c>
      <c r="DE22" s="5" t="str">
        <f t="shared" si="8"/>
        <v>"MAGICIAN-20" : {
"Capacities":["Sorts de prédilection"],
"MinorSpellsNb": 5,
"Locations": {
"1":4,
"2":3,
"3":3,
"4":3,
"5":3,
"6":2,
"7":2,
"8":1,
"9":1}
}</v>
      </c>
      <c r="DF22" s="141">
        <v>6</v>
      </c>
      <c r="DG22" s="118" t="s">
        <v>173</v>
      </c>
      <c r="DH22" s="118">
        <v>20</v>
      </c>
      <c r="DI22" s="171">
        <v>9</v>
      </c>
      <c r="DJ22" s="170" t="s">
        <v>4074</v>
      </c>
      <c r="DK22" s="146" t="s">
        <v>3028</v>
      </c>
      <c r="DL22" s="128" t="str">
        <f t="shared" si="9"/>
        <v>"MONK-20" : {
"Capacities":["Perfection de l'être"],
"Specials": 20,
"BonusAttack": "1d10",
"ArmourlessSpeed": 9,
"ArmourlessCategories": ["1_LIGHT", "2_MID", "3_HEAVY"]
}</v>
      </c>
      <c r="DM22" s="91">
        <v>6</v>
      </c>
      <c r="DN22" s="78" t="s">
        <v>6111</v>
      </c>
      <c r="DO22" s="91">
        <v>4</v>
      </c>
      <c r="DP22" s="91">
        <v>8</v>
      </c>
      <c r="DQ22" s="91">
        <v>71</v>
      </c>
      <c r="DR22" s="91">
        <v>7</v>
      </c>
      <c r="DS22" s="128" t="str">
        <f>""""&amp;$DM$1&amp;"-"&amp;$A22&amp;""" : {
""Capacities"":["&amp;DN22&amp;"],
""Specials"": "&amp;DQ22&amp;",
""BonusAttack"": "&amp;DO22&amp;"
}"</f>
        <v>"MYSTICAL-20" : {
"Capacities":["Corps psionique"],
"Specials": 71,
"BonusAttack": 4
}</v>
      </c>
      <c r="DT22" s="134">
        <v>6</v>
      </c>
      <c r="DU22" s="119" t="s">
        <v>3011</v>
      </c>
      <c r="DV22" s="119">
        <v>10</v>
      </c>
      <c r="DW22" s="31" t="s">
        <v>3265</v>
      </c>
      <c r="DX22" s="6">
        <v>4</v>
      </c>
      <c r="DY22" s="6">
        <v>3</v>
      </c>
      <c r="DZ22" s="6">
        <v>3</v>
      </c>
      <c r="EA22" s="6">
        <v>3</v>
      </c>
      <c r="EB22" s="6">
        <v>2</v>
      </c>
      <c r="EC22" s="135" t="str">
        <f t="shared" si="10"/>
        <v>"PALADIN-20" : {
"Capacities":["Capacité de serment sacré"],
"SpellsNb": 10,
"SpellsNbBonus": "CHA",
"Locations": {
"1":4,
"2":3,
"3":3,
"4":3,
"5":2}
}</v>
      </c>
      <c r="ED22" s="6">
        <v>6</v>
      </c>
      <c r="EE22" s="119" t="s">
        <v>3006</v>
      </c>
      <c r="EF22" s="6">
        <v>11</v>
      </c>
      <c r="EG22" s="6">
        <v>4</v>
      </c>
      <c r="EH22" s="6">
        <v>3</v>
      </c>
      <c r="EI22" s="6">
        <v>3</v>
      </c>
      <c r="EJ22" s="6">
        <v>3</v>
      </c>
      <c r="EK22" s="6">
        <v>2</v>
      </c>
      <c r="EL22" s="5" t="str">
        <f t="shared" si="11"/>
        <v>"PROWLER-20" : {
"Capacities":["Tueur d'ennemis"],
"SpellsNb":11,
"Locations": {
"1":4,
"2":3,
"3":3,
"4":3,
"5":2}
}</v>
      </c>
      <c r="EM22" s="134">
        <v>6</v>
      </c>
      <c r="EN22" s="6" t="s">
        <v>1009</v>
      </c>
      <c r="EO22" s="119" t="s">
        <v>2995</v>
      </c>
      <c r="EP22" s="91">
        <v>4</v>
      </c>
      <c r="EQ22" s="91">
        <v>13</v>
      </c>
      <c r="ER22" s="91">
        <v>4</v>
      </c>
      <c r="ES22" s="91">
        <v>3</v>
      </c>
      <c r="ET22" s="91">
        <v>3</v>
      </c>
      <c r="EU22" s="91">
        <v>1</v>
      </c>
      <c r="EV22" s="132" t="str">
        <f t="shared" si="12"/>
        <v>"WILY-20" : {
"Capacities":["Coup de chance"],
"BonusAttack": "10d6",
"MinorSpellsNb": 4,
"SpellsNb": 13,
"Locations": {
"1":4,
"2":3,
"3":3,
"4":1
}
}</v>
      </c>
      <c r="EW22" s="6">
        <v>6</v>
      </c>
      <c r="EX22" s="119" t="s">
        <v>2983</v>
      </c>
      <c r="EY22" s="6">
        <v>4</v>
      </c>
      <c r="EZ22" s="6">
        <v>15</v>
      </c>
      <c r="FA22" s="6">
        <v>4</v>
      </c>
      <c r="FB22" s="6">
        <v>5</v>
      </c>
      <c r="FC22" s="6">
        <v>8</v>
      </c>
      <c r="FD22" s="116" t="str">
        <f t="shared" si="13"/>
        <v>"WIZARD-20" : {
"Capacities":["Maître de l'occulte"],
"MinorSpellsNb": 4,
"SpellsNb": 15,
"Locations": {"5":4},
"Invocations": 8
}</v>
      </c>
    </row>
    <row r="23" spans="1:160" ht="15" customHeight="1">
      <c r="EC23" s="246"/>
    </row>
    <row r="24" spans="1:160" ht="15" customHeight="1">
      <c r="B24" t="str">
        <f>CONCATENATE(L3,",
",L4,",
",L5,",
",L6,",
",L7,",
",L8,",
",L9,",
",L10,",
",L11,",
",L12,",
",L13,",
",L14,",
",L15,",
",L16,",
",L17,",
",L18,",
",L19,",
",L20,",
",L21)</f>
        <v>"ARTIFICER-1" : {
"Capacities":["Incantations", "Bricolage magique"],
"MinorSpellsNb": 2,
"Locations": {
"1":2,
"2":0,
"3":0,
"4":0,
"5":0},
"Impregnation": 0,
"ImpregnatedObjects": 0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v>
      </c>
      <c r="EC24" s="223"/>
    </row>
    <row r="25" spans="1:160" ht="15" customHeight="1">
      <c r="B25" t="str">
        <f>CONCATENATE(AF3,",
",AF4,",
",AF5,",
",AF6,",
",AF7,",
",AF8,",
",AF9,",
",AF10,",
",AF11,",
",AF12,",
",AF13,",
",AF14,",
",AF15,",
",AF16,",
",AF17,",
",AF18,",
",AF19,",
",AF20,",
",AF21,",
",AF22)</f>
        <v>"BARBARIAN-1":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v>
      </c>
    </row>
    <row r="26" spans="1:160" ht="15" customHeight="1">
      <c r="B26" t="str">
        <f>CONCATENATE(AT3,",
",AT4,",
",AT5,",
",AT6,",
",AT7,",
",AT8,",
",AT9,",
",AT10,",
",AT11,",
",AT12,",
",AT13,",
",AT14,",
",AT15,",
",AT16,",
",AT17,",
",AT18,",
",AT19,",
",AT20,",
",AT21,",
",AT22)</f>
        <v>"BARD-1"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v>
      </c>
    </row>
    <row r="27" spans="1:160" ht="15" customHeight="1">
      <c r="B27" t="str">
        <f>CONCATENATE(BG3,",
",BG4,",
",BG5,",
",BG6,",
",BG7,",
",BG8,",
",BG9,",
",BG10,",
",BG11,",
",BG12,",
",BG13,",
",BG14,",
",BG15,",
",BG16,",
",BG17,",
",BG18,",
",BG19,",
",BG20,",
",BG21,",
",BG22)</f>
        <v>"CLERK-1"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v>
      </c>
    </row>
    <row r="28" spans="1:160" ht="15" customHeight="1">
      <c r="B28" t="str">
        <f>CONCATENATE(BT3,",
",BT4,",
",BT5,",
",BT6,",
",BT7,",
",BT8,",
",BT9,",
",BT10,",
",BT11,",
",BT12,",
",BT13,",
",BT14,",
",BT15,",
",BT16,",
",BT17,",
",BT18,",
",BT19,",
",BT20,",
",BT21,",
",BT22)</f>
        <v>"DRUID-1"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v>
      </c>
    </row>
    <row r="29" spans="1:160">
      <c r="B29" t="str">
        <f>CONCATENATE(CI3,",
",CI4,",
",CI5,",
",CI6,",
",CI7,",
",CI8,",
",CI9,",
",CI10,",
",CI11,",
",CI12,",
",CI13,",
",CI14,",
",CI15,",
",CI16,",
",CI17,",
",CI18,",
",CI19,",
",CI20,",
",CI21,",
",CI22)</f>
        <v>"SORCERER-1"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v>
      </c>
    </row>
    <row r="30" spans="1:160">
      <c r="B30" t="str">
        <f>CONCATENATE(CR3,",
",CR4,",
",CR5,",
",CR6,",
",CR7,",
",CR8,",
",CR9,",
",CR10,",
",CR11,",
",CR12,",
",CR13,",
",CR14,",
",CR15,",
",CR16,",
",CR17,",
",CR18,",
",CR19,",
",CR20,",
",CR21,",
",CR22)</f>
        <v>"WARRIOR-1"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v>
      </c>
    </row>
    <row r="31" spans="1:160">
      <c r="B31" t="str">
        <f>CONCATENATE(DE3,",
",DE4,",
",DE5,",
",DE6,",
",DE7,",
",DE8,",
",DE9,",
",DE10,",
",DE11,",
",DE12,",
",DE13,",
",DE14,",
",DE15,",
",DE16,",
",DE17,",
",DE18,",
",DE19,",
",DE20,",
",DE21,",
",DE22)</f>
        <v>"MAGICIAN-1"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v>
      </c>
    </row>
    <row r="32" spans="1:160">
      <c r="B32" t="str">
        <f>CONCATENATE(DL3,",
",DL4,",
",DL5,",
",DL6,",
",DL7,",
",DL8,",
",DL9,",
",DL10,",
",DL11,",
",DL12,",
",DL13,",
",DL14,",
",DL15,",
",DL16,",
",DL17,",
",DL18,",
",DL19,",
",DL20,",
",DL21,",
",DL22)</f>
        <v>"MONK-1"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v>
      </c>
    </row>
    <row r="33" spans="2:2">
      <c r="B33" t="str">
        <f>CONCATENATE(DS3,",
",DS4,",
",DS5,",
",DS6,",
",DS7,",
",DS8,",
",DS9,",
",DS10,",
",DS11,",
",DS12,",
",DS13,",
",DS14,",
",DS15,",
",DS16,",
",DS17,",
",DS18,",
",DS19,",
",DS20,",
",DS21,",
",DS22)</f>
        <v>"MYSTICAL-1" : {
"Capacities":["Talents psioniques", "Disciplines psioniques", "Points psi", "Limite psi", "Focaliseur psychique", "Caractéristique psionique",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v>
      </c>
    </row>
    <row r="34" spans="2:2">
      <c r="B34" t="str">
        <f>CONCATENATE(EC3,",
",EC4,",
",EC5,",
",EC6,",
",EC7,",
",EC8,",
",EC9,",
",EC10,",
",EC11,",
",EC12,",
",EC13,",
",EC14,",
",EC15,",
",EC16,",
",EC17,",
",EC18,",
",EC19,",
",EC20,",
",EC21,",
",EC22)</f>
        <v>"PALADIN-1"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 {
"1":4,
"2":3,
"3":0,
"4":0,
"5":0}
},
"PALADIN-8" : {
"Capacities":["Amélioration de caractéristiques"],
"SpellsNb": 4,
"SpellsNbBonus": "CHA",
"Locations": {
"1":4,
"2":3,
"3":0,
"4":0,
"5":0}
},
"PALADIN-9" : {
"Capacities":[],
"SpellsNb": 4,
"SpellsNbBonus": "CHA",
"Locations": {
"1":4,
"2":3,
"3":2,
"4":0,
"5":0}
},
"PALADIN-10" : {
"Capacities":["Aura de courage"],
"SpellsNb": 5,
"SpellsNbBonus": "CHA",
"Locations": {
"1":4,
"2":3,
"3":2,
"4":0,
"5":0}
},
"PALADIN-11" : {
"Capacities":["Châtiment divin amélioré"],
"SpellsNb": 5,
"SpellsNbBonus": "CHA",
"Locations": {
"1":4,
"2":3,
"3":3,
"4":0,
"5":0}
},
"PALADIN-12" : {
"Capacities":["Amélioration de caractéristiques"],
"SpellsNb": 6,
"SpellsNbBonus": "CHA",
"Locations": {
"1":4,
"2":3,
"3":3,
"4":0,
"5":0}
},
"PALADIN-13" : {
"Capacities":[],
"SpellsNb": 6,
"SpellsNbBonus": "CHA",
"Locations": {
"1":4,
"2":3,
"3":3,
"4":1,
"5":0}
},
"PALADIN-14" : {
"Capacities":["Contact purifiant"],
"SpellsNb": 7,
"SpellsNbBonus": "CHA",
"Locations": {
"1":4,
"2":3,
"3":3,
"4":1,
"5":0}
},
"PALADIN-15" : {
"Capacities":["Capacité de serment sacré"],
"SpellsNb": 7,
"SpellsNbBonus": "CHA",
"Locations": {
"1":4,
"2":3,
"3":3,
"4":2,
"5":0}
},
"PALADIN-16" : {
"Capacities":["Amélioration de caractéristiques"],
"SpellsNb": 8,
"SpellsNbBonus": "CHA",
"Locations": {
"1":4,
"2":3,
"3":3,
"4":2,
"5":0}
},
"PALADIN-17" : {
"Capacities":[],
"SpellsNb": 8,
"SpellsNbBonus": "CHA",
"Locations": {
"1":4,
"2":3,
"3":3,
"4":3,
"5":1}
},
"PALADIN-18" : {
"Capacities":["Amélioration des auras"],
"SpellsNb": 9,
"SpellsNbBonus": "CHA",
"Locations": {
"1":4,
"2":3,
"3":3,
"4":3,
"5":1}
},
"PALADIN-19" : {
"Capacities":["Amélioration de caractéristiques"],
"SpellsNb": 9,
"SpellsNbBonus": "CHA",
"Locations": {
"1":4,
"2":3,
"3":3,
"4":3,
"5":2}
},
"PALADIN-20" : {
"Capacities":["Capacité de serment sacré"],
"SpellsNb": 10,
"SpellsNbBonus": "CHA",
"Locations": {
"1":4,
"2":3,
"3":3,
"4":3,
"5":2}
}</v>
      </c>
    </row>
    <row r="35" spans="2:2">
      <c r="B35" t="str">
        <f>CONCATENATE(EL3,",
",EL4,",
",EL5,",
",EL6,",
",EL7,",
",EL8,",
",EL9,",
",EL10,",
",EL11,",
",EL12,",
",EL13,",
",EL14,",
",EL15,",
",EL16,",
",EL17,",
",EL18,",
",EL19,",
",EL20,",
",EL21,",
",EL22)</f>
        <v>"PROWLER-1"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v>
      </c>
    </row>
    <row r="36" spans="2:2">
      <c r="B36" t="str">
        <f>CONCATENATE(EV3,",
",EV4,",
",EV5,",
",EV6,",
",EV7,",
",EV8,",
",EV9,",
",EV10,",
",EV11,",
",EV12,",
",EV13,",
",EV14,",
",EV15,",
",EV16,",
",EV17,",
",EV18,",
",EV19,",
",EV20,",
",EV21,",
",EV22)</f>
        <v>"WILY-1" : {
"Capacities":["Expertise", "Attaque sournoise", "Jargon des voleurs"],
"BonusAttack": "1d6",
"MinorSpellsNb": 0,
"SpellsNb": 0,
"Locations": {
"1":0,
"2":0,
"3":0,
"4":0
}
},
"WILY-2" : {
"Capacities":["Ruse"],
"BonusAttack": "1d6",
"MinorSpellsNb": 0,
"SpellsNb": 0,
"Locations": {
"1":0,
"2":0,
"3":0,
"4":0
}
},
"WILY-3" : {
"Capacities":["Archétype de roublard"],
"BonusAttack": "2d6",
"MinorSpellsNb": 3,
"SpellsNb": 3,
"Locations": {
"1":2,
"2":0,
"3":0,
"4":0
}
},
"WILY-4" : {
"Capacities":["Amélioration de caractéristiques"],
"BonusAttack": "2d6",
"MinorSpellsNb": 3,
"SpellsNb": 4,
"Locations": {
"1":3,
"2":0,
"3":0,
"4":0
}
},
"WILY-5" : {
"Capacities":["Esquive instinctive"],
"BonusAttack": "3d6",
"MinorSpellsNb": 3,
"SpellsNb": 4,
"Locations": {
"1":3,
"2":0,
"3":0,
"4":0
}
},
"WILY-6" : {
"Capacities":["Expertise"],
"BonusAttack": "3d6",
"MinorSpellsNb": 3,
"SpellsNb": 4,
"Locations": {
"1":3,
"2":0,
"3":0,
"4":0
}
},
"WILY-7" : {
"Capacities":["Dérobade"],
"BonusAttack": "4d6",
"MinorSpellsNb": 3,
"SpellsNb": 5,
"Locations": {
"1":4,
"2":2,
"3":0,
"4":0
}
},
"WILY-8" : {
"Capacities":["Amélioration de caractéristiques"],
"BonusAttack": "4d6",
"MinorSpellsNb": 3,
"SpellsNb": 6,
"Locations": {
"1":4,
"2":2,
"3":0,
"4":0
}
},
"WILY-9" : {
"Capacities":["Capacité de l'archétype de roublard"],
"BonusAttack": "5d6",
"MinorSpellsNb": 3,
"SpellsNb": 6,
"Locations": {
"1":4,
"2":2,
"3":0,
"4":0
}
},
"WILY-10" : {
"Capacities":["Amélioration de caractéristiques"],
"BonusAttack": "5d6",
"MinorSpellsNb": 4,
"SpellsNb": 7,
"Locations": {
"1":4,
"2":3,
"3":0,
"4":0
}
},
"WILY-11" : {
"Capacities":["Talent"],
"BonusAttack": "6d6",
"MinorSpellsNb": 4,
"SpellsNb": 8,
"Locations": {
"1":4,
"2":3,
"3":0,
"4":0
}
},
"WILY-12" : {
"Capacities":["Amélioration de caractéristiques"],
"BonusAttack": "6d6",
"MinorSpellsNb": 4,
"SpellsNb": 8,
"Locations": {
"1":4,
"2":3,
"3":0,
"4":0
}
},
"WILY-13" : {
"Capacities":["Capacité de l'archétype de roublard"],
"BonusAttack": "7d6",
"MinorSpellsNb": 4,
"SpellsNb": 9,
"Locations": {
"1":4,
"2":3,
"3":2,
"4":0
}
},
"WILY-14" : {
"Capacities":["Ouïe fine"],
"BonusAttack": "7d6",
"MinorSpellsNb": 4,
"SpellsNb": 10,
"Locations": {
"1":4,
"2":3,
"3":2,
"4":0
}
},
"WILY-15" : {
"Capacities":["Esprit impénétrable"],
"BonusAttack": "8d6",
"MinorSpellsNb": 4,
"SpellsNb": 10,
"Locations": {
"1":4,
"2":3,
"3":2,
"4":0
}
},
"WILY-16" : {
"Capacities":["Amélioration de caractéristiques"],
"BonusAttack": "8d6",
"MinorSpellsNb": 4,
"SpellsNb": 11,
"Locations": {
"1":4,
"2":3,
"3":3,
"4":0
}
},
"WILY-17" : {
"Capacities":["Capacité de l'archétype de roublard"],
"BonusAttack": "9d6",
"MinorSpellsNb": 4,
"SpellsNb": 11,
"Locations": {
"1":4,
"2":3,
"3":3,
"4":0
}
},
"WILY-18" : {
"Capacities":["Insaisissable"],
"BonusAttack": "9d6",
"MinorSpellsNb": 4,
"SpellsNb": 11,
"Locations": {
"1":4,
"2":3,
"3":3,
"4":0
}
},
"WILY-19" : {
"Capacities":["Amélioration de caractéristiques"],
"BonusAttack": "10d6",
"MinorSpellsNb": 4,
"SpellsNb": 12,
"Locations": {
"1":4,
"2":3,
"3":3,
"4":1
}
},
"WILY-20" : {
"Capacities":["Coup de chance"],
"BonusAttack": "10d6",
"MinorSpellsNb": 4,
"SpellsNb": 13,
"Locations": {
"1":4,
"2":3,
"3":3,
"4":1
}
}</v>
      </c>
    </row>
    <row r="37" spans="2:2">
      <c r="B37" t="str">
        <f>CONCATENATE(FD3,",
",FD4,",
",FD5,",
",FD6,",
",FD7,",
",FD8,",
",FD9,",
",FD10,",
",FD11,",
",FD12,",
",FD13,",
",FD14,",
",FD15,",
",FD16,",
",FD17,",
",FD18,",
",FD19,",
",FD20,",
",FD21,",
",FD22)</f>
        <v>"WIZARD-1"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row>
    <row r="39" spans="2:2">
      <c r="B39" t="str">
        <f>CONCATENATE(B24,",
",B25,",
",B26,",
",B27,",
",B28,",
",B29,",
",B30,",
",B31,",
",B32,",
",B33,",
",B34,",
",B35,",
",B36,",
",B37)</f>
        <v>"ARTIFICER-1" : {
"Capacities":["Incantations", "Bricolage magique"],
"MinorSpellsNb": 2,
"Locations": {
"1":2,
"2":0,
"3":0,
"4":0,
"5":0},
"Impregnation": 0,
"ImpregnatedObjects": 0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
"MYSTICAL-1" : {
"Capacities":["Talents psioniques", "Disciplines psioniques", "Points psi", "Limite psi", "Focaliseur psychique", "Caractéristique psionique",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
"PALADIN-1"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 {
"1":4,
"2":3,
"</v>
      </c>
    </row>
  </sheetData>
  <mergeCells count="15">
    <mergeCell ref="B1:K1"/>
    <mergeCell ref="M1:X1"/>
    <mergeCell ref="EM1:EO1"/>
    <mergeCell ref="EW1:FC1"/>
    <mergeCell ref="DT1:EB1"/>
    <mergeCell ref="ED1:EK1"/>
    <mergeCell ref="CJ1:CK1"/>
    <mergeCell ref="CS1:DD1"/>
    <mergeCell ref="DF1:DK1"/>
    <mergeCell ref="BH1:BS1"/>
    <mergeCell ref="AG1:AS1"/>
    <mergeCell ref="BU1:CH1"/>
    <mergeCell ref="Z1:AF1"/>
    <mergeCell ref="AU1:BF1"/>
    <mergeCell ref="DM1:DR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4560-21FF-45D3-95B8-F98E9C5B8628}">
  <dimension ref="A1:DH59"/>
  <sheetViews>
    <sheetView workbookViewId="0">
      <pane xSplit="1" ySplit="2" topLeftCell="B3" activePane="bottomRight" state="frozenSplit"/>
      <selection pane="topRight" activeCell="G1" sqref="G1"/>
      <selection pane="bottomLeft" activeCell="A11" sqref="A11"/>
      <selection pane="bottomRight" activeCell="F10" sqref="F10"/>
    </sheetView>
  </sheetViews>
  <sheetFormatPr baseColWidth="10" defaultRowHeight="15"/>
  <cols>
    <col min="1" max="1" width="31.42578125" customWidth="1"/>
    <col min="2" max="2" width="20.28515625" customWidth="1"/>
    <col min="6" max="6" width="14" customWidth="1"/>
  </cols>
  <sheetData>
    <row r="1" spans="1:112">
      <c r="B1" s="422" t="s">
        <v>0</v>
      </c>
      <c r="C1" s="422"/>
      <c r="D1" s="422"/>
      <c r="E1" s="422"/>
      <c r="F1" s="422"/>
      <c r="G1" s="422"/>
      <c r="H1" s="422"/>
      <c r="I1" s="422"/>
      <c r="J1" s="422"/>
      <c r="K1" s="422"/>
      <c r="L1" s="422"/>
      <c r="M1" s="422"/>
      <c r="N1" s="422"/>
      <c r="O1" s="422"/>
      <c r="P1" s="422"/>
      <c r="Q1" s="422"/>
      <c r="R1" s="422"/>
      <c r="S1" s="422"/>
      <c r="T1" s="422"/>
      <c r="U1" s="422"/>
    </row>
    <row r="2" spans="1:112">
      <c r="A2" s="45" t="s">
        <v>312</v>
      </c>
      <c r="B2" s="220">
        <v>1</v>
      </c>
      <c r="C2" s="220">
        <v>2</v>
      </c>
      <c r="D2" s="220">
        <v>3</v>
      </c>
      <c r="E2" s="220">
        <v>4</v>
      </c>
      <c r="F2" s="220">
        <v>5</v>
      </c>
      <c r="G2" s="220">
        <v>6</v>
      </c>
      <c r="H2" s="220">
        <v>7</v>
      </c>
      <c r="I2" s="220">
        <v>8</v>
      </c>
      <c r="J2" s="220">
        <v>9</v>
      </c>
      <c r="K2" s="220">
        <v>10</v>
      </c>
      <c r="L2" s="220">
        <v>11</v>
      </c>
      <c r="M2" s="220">
        <v>12</v>
      </c>
      <c r="N2" s="220">
        <v>13</v>
      </c>
      <c r="O2" s="220">
        <v>14</v>
      </c>
      <c r="P2" s="220">
        <v>15</v>
      </c>
      <c r="Q2" s="220">
        <v>16</v>
      </c>
      <c r="R2" s="220">
        <v>17</v>
      </c>
      <c r="S2" s="220">
        <v>18</v>
      </c>
      <c r="T2" s="220">
        <v>19</v>
      </c>
      <c r="U2" s="220">
        <v>20</v>
      </c>
      <c r="V2" s="221"/>
      <c r="W2" s="221"/>
      <c r="X2" s="221"/>
      <c r="Y2" s="221"/>
      <c r="Z2" s="221"/>
      <c r="AA2" s="221"/>
      <c r="AB2" s="221"/>
      <c r="AC2" s="221"/>
      <c r="AD2" s="221"/>
      <c r="AE2" s="221"/>
      <c r="AF2" s="221"/>
      <c r="AG2" s="221"/>
      <c r="AH2" s="420"/>
      <c r="AI2" s="420"/>
      <c r="AJ2" s="420"/>
      <c r="AK2" s="420"/>
      <c r="AL2" s="420"/>
      <c r="AM2" s="420"/>
      <c r="AN2" s="420"/>
      <c r="AO2" s="420"/>
      <c r="AP2" s="420"/>
      <c r="AQ2" s="420"/>
      <c r="AR2" s="420"/>
      <c r="AS2" s="420"/>
      <c r="AT2" s="221"/>
      <c r="AU2" s="421"/>
      <c r="AV2" s="421"/>
      <c r="AW2" s="421"/>
      <c r="AX2" s="421"/>
      <c r="AY2" s="421"/>
      <c r="AZ2" s="421"/>
      <c r="BA2" s="421"/>
      <c r="BB2" s="421"/>
      <c r="BC2" s="421"/>
      <c r="BD2" s="421"/>
      <c r="BE2" s="421"/>
      <c r="BF2" s="421"/>
      <c r="BG2" s="421"/>
      <c r="BH2" s="421"/>
      <c r="BI2" s="222"/>
      <c r="BJ2" s="420"/>
      <c r="BK2" s="420"/>
      <c r="BL2" s="221"/>
      <c r="BM2" s="420"/>
      <c r="BN2" s="420"/>
      <c r="BO2" s="420"/>
      <c r="BP2" s="420"/>
      <c r="BQ2" s="420"/>
      <c r="BR2" s="420"/>
      <c r="BS2" s="420"/>
      <c r="BT2" s="420"/>
      <c r="BU2" s="420"/>
      <c r="BV2" s="420"/>
      <c r="BW2" s="420"/>
      <c r="BX2" s="420"/>
      <c r="BY2" s="221"/>
      <c r="BZ2" s="420"/>
      <c r="CA2" s="420"/>
      <c r="CB2" s="420"/>
      <c r="CC2" s="420"/>
      <c r="CD2" s="420"/>
      <c r="CE2" s="221"/>
      <c r="CF2" s="420"/>
      <c r="CG2" s="420"/>
      <c r="CH2" s="420"/>
      <c r="CI2" s="420"/>
      <c r="CJ2" s="420"/>
      <c r="CK2" s="420"/>
      <c r="CL2" s="420"/>
      <c r="CM2" s="221"/>
      <c r="CN2" s="420"/>
      <c r="CO2" s="420"/>
      <c r="CP2" s="420"/>
      <c r="CQ2" s="420"/>
      <c r="CR2" s="420"/>
      <c r="CS2" s="420"/>
      <c r="CT2" s="420"/>
      <c r="CU2" s="420"/>
      <c r="CV2" s="221"/>
      <c r="CW2" s="421"/>
      <c r="CX2" s="421"/>
      <c r="CY2" s="421"/>
      <c r="CZ2" s="222"/>
      <c r="DA2" s="420"/>
      <c r="DB2" s="420"/>
      <c r="DC2" s="420"/>
      <c r="DD2" s="420"/>
      <c r="DE2" s="420"/>
      <c r="DF2" s="420"/>
      <c r="DG2" s="420"/>
      <c r="DH2" s="221"/>
    </row>
    <row r="3" spans="1:112">
      <c r="A3" s="372" t="s">
        <v>6043</v>
      </c>
      <c r="B3" s="374"/>
      <c r="C3" s="375"/>
      <c r="D3" s="375" t="s">
        <v>6212</v>
      </c>
      <c r="E3" s="375"/>
      <c r="F3" s="375" t="s">
        <v>6052</v>
      </c>
      <c r="G3" s="375"/>
      <c r="H3" s="375"/>
      <c r="I3" s="375"/>
      <c r="J3" s="375" t="s">
        <v>6053</v>
      </c>
      <c r="K3" s="375"/>
      <c r="L3" s="375"/>
      <c r="M3" s="375"/>
      <c r="N3" s="375"/>
      <c r="O3" s="375"/>
      <c r="P3" s="375" t="s">
        <v>6054</v>
      </c>
      <c r="Q3" s="375"/>
      <c r="R3" s="375"/>
      <c r="S3" s="375"/>
      <c r="T3" s="375"/>
      <c r="U3" s="376"/>
      <c r="V3" s="370"/>
      <c r="W3" s="370"/>
      <c r="X3" s="370"/>
      <c r="Y3" s="370"/>
      <c r="Z3" s="370"/>
      <c r="AA3" s="370"/>
      <c r="AB3" s="370"/>
      <c r="AC3" s="370"/>
      <c r="AD3" s="370"/>
      <c r="AE3" s="370"/>
      <c r="AF3" s="370"/>
      <c r="AG3" s="370"/>
      <c r="AH3" s="370"/>
      <c r="AI3" s="370"/>
      <c r="AJ3" s="370"/>
      <c r="AK3" s="370"/>
      <c r="AL3" s="370"/>
      <c r="AM3" s="370"/>
      <c r="AN3" s="370"/>
      <c r="AO3" s="370"/>
      <c r="AP3" s="370"/>
      <c r="AQ3" s="370"/>
      <c r="AR3" s="370"/>
      <c r="AS3" s="370"/>
      <c r="AT3" s="370"/>
      <c r="AU3" s="371"/>
      <c r="AV3" s="371"/>
      <c r="AW3" s="371"/>
      <c r="AX3" s="371"/>
      <c r="AY3" s="371"/>
      <c r="AZ3" s="371"/>
      <c r="BA3" s="371"/>
      <c r="BB3" s="371"/>
      <c r="BC3" s="371"/>
      <c r="BD3" s="371"/>
      <c r="BE3" s="371"/>
      <c r="BF3" s="371"/>
      <c r="BG3" s="371"/>
      <c r="BH3" s="371"/>
      <c r="BI3" s="371"/>
      <c r="BJ3" s="370"/>
      <c r="BK3" s="370"/>
      <c r="BL3" s="370"/>
      <c r="BM3" s="370"/>
      <c r="BN3" s="370"/>
      <c r="BO3" s="370"/>
      <c r="BP3" s="370"/>
      <c r="BQ3" s="370"/>
      <c r="BR3" s="370"/>
      <c r="BS3" s="370"/>
      <c r="BT3" s="370"/>
      <c r="BU3" s="370"/>
      <c r="BV3" s="370"/>
      <c r="BW3" s="370"/>
      <c r="BX3" s="370"/>
      <c r="BY3" s="370"/>
      <c r="BZ3" s="370"/>
      <c r="CA3" s="370"/>
      <c r="CB3" s="370"/>
      <c r="CC3" s="370"/>
      <c r="CD3" s="370"/>
      <c r="CE3" s="370"/>
      <c r="CF3" s="370"/>
      <c r="CG3" s="370"/>
      <c r="CH3" s="370"/>
      <c r="CI3" s="370"/>
      <c r="CJ3" s="370"/>
      <c r="CK3" s="370"/>
      <c r="CL3" s="370"/>
      <c r="CM3" s="370"/>
      <c r="CN3" s="370"/>
      <c r="CO3" s="370"/>
      <c r="CP3" s="370"/>
      <c r="CQ3" s="370"/>
      <c r="CR3" s="370"/>
      <c r="CS3" s="370"/>
      <c r="CT3" s="370"/>
      <c r="CU3" s="370"/>
      <c r="CV3" s="370"/>
      <c r="CW3" s="371"/>
      <c r="CX3" s="371"/>
      <c r="CY3" s="371"/>
      <c r="CZ3" s="371"/>
      <c r="DA3" s="370"/>
      <c r="DB3" s="370"/>
      <c r="DC3" s="370"/>
      <c r="DD3" s="370"/>
      <c r="DE3" s="370"/>
      <c r="DF3" s="370"/>
      <c r="DG3" s="370"/>
      <c r="DH3" s="370"/>
    </row>
    <row r="4" spans="1:112">
      <c r="A4" s="372" t="s">
        <v>6047</v>
      </c>
      <c r="B4" s="377"/>
      <c r="C4" s="378"/>
      <c r="D4" s="378" t="s">
        <v>6055</v>
      </c>
      <c r="E4" s="378"/>
      <c r="F4" s="378" t="s">
        <v>6056</v>
      </c>
      <c r="G4" s="378"/>
      <c r="H4" s="378"/>
      <c r="I4" s="378"/>
      <c r="J4" s="378" t="s">
        <v>6057</v>
      </c>
      <c r="K4" s="378"/>
      <c r="L4" s="378"/>
      <c r="M4" s="378"/>
      <c r="N4" s="378"/>
      <c r="O4" s="378"/>
      <c r="P4" s="378" t="s">
        <v>6058</v>
      </c>
      <c r="Q4" s="378"/>
      <c r="R4" s="378"/>
      <c r="S4" s="378"/>
      <c r="T4" s="378"/>
      <c r="U4" s="379"/>
      <c r="V4" s="370"/>
      <c r="W4" s="370"/>
      <c r="X4" s="370"/>
      <c r="Y4" s="370"/>
      <c r="Z4" s="370"/>
      <c r="AA4" s="370"/>
      <c r="AB4" s="370"/>
      <c r="AC4" s="370"/>
      <c r="AD4" s="370"/>
      <c r="AE4" s="370"/>
      <c r="AF4" s="370"/>
      <c r="AG4" s="370"/>
      <c r="AH4" s="370"/>
      <c r="AI4" s="370"/>
      <c r="AJ4" s="370"/>
      <c r="AK4" s="370"/>
      <c r="AL4" s="370"/>
      <c r="AM4" s="370"/>
      <c r="AN4" s="370"/>
      <c r="AO4" s="370"/>
      <c r="AP4" s="370"/>
      <c r="AQ4" s="370"/>
      <c r="AR4" s="370"/>
      <c r="AS4" s="370"/>
      <c r="AT4" s="370"/>
      <c r="AU4" s="371"/>
      <c r="AV4" s="371"/>
      <c r="AW4" s="371"/>
      <c r="AX4" s="371"/>
      <c r="AY4" s="371"/>
      <c r="AZ4" s="371"/>
      <c r="BA4" s="371"/>
      <c r="BB4" s="371"/>
      <c r="BC4" s="371"/>
      <c r="BD4" s="371"/>
      <c r="BE4" s="371"/>
      <c r="BF4" s="371"/>
      <c r="BG4" s="371"/>
      <c r="BH4" s="371"/>
      <c r="BI4" s="371"/>
      <c r="BJ4" s="370"/>
      <c r="BK4" s="370"/>
      <c r="BL4" s="370"/>
      <c r="BM4" s="370"/>
      <c r="BN4" s="370"/>
      <c r="BO4" s="370"/>
      <c r="BP4" s="370"/>
      <c r="BQ4" s="370"/>
      <c r="BR4" s="370"/>
      <c r="BS4" s="370"/>
      <c r="BT4" s="370"/>
      <c r="BU4" s="370"/>
      <c r="BV4" s="370"/>
      <c r="BW4" s="370"/>
      <c r="BX4" s="370"/>
      <c r="BY4" s="370"/>
      <c r="BZ4" s="370"/>
      <c r="CA4" s="370"/>
      <c r="CB4" s="370"/>
      <c r="CC4" s="370"/>
      <c r="CD4" s="370"/>
      <c r="CE4" s="370"/>
      <c r="CF4" s="370"/>
      <c r="CG4" s="370"/>
      <c r="CH4" s="370"/>
      <c r="CI4" s="370"/>
      <c r="CJ4" s="370"/>
      <c r="CK4" s="370"/>
      <c r="CL4" s="370"/>
      <c r="CM4" s="370"/>
      <c r="CN4" s="370"/>
      <c r="CO4" s="370"/>
      <c r="CP4" s="370"/>
      <c r="CQ4" s="370"/>
      <c r="CR4" s="370"/>
      <c r="CS4" s="370"/>
      <c r="CT4" s="370"/>
      <c r="CU4" s="370"/>
      <c r="CV4" s="370"/>
      <c r="CW4" s="371"/>
      <c r="CX4" s="371"/>
      <c r="CY4" s="371"/>
      <c r="CZ4" s="371"/>
      <c r="DA4" s="370"/>
      <c r="DB4" s="370"/>
      <c r="DC4" s="370"/>
      <c r="DD4" s="370"/>
      <c r="DE4" s="370"/>
      <c r="DF4" s="370"/>
      <c r="DG4" s="370"/>
      <c r="DH4" s="370"/>
    </row>
    <row r="5" spans="1:112">
      <c r="A5" s="372" t="s">
        <v>6049</v>
      </c>
      <c r="B5" s="380"/>
      <c r="C5" s="381"/>
      <c r="D5" s="381" t="s">
        <v>6059</v>
      </c>
      <c r="E5" s="381"/>
      <c r="F5" s="381" t="s">
        <v>2999</v>
      </c>
      <c r="G5" s="381"/>
      <c r="H5" s="381"/>
      <c r="I5" s="381"/>
      <c r="J5" s="381" t="s">
        <v>6060</v>
      </c>
      <c r="K5" s="381"/>
      <c r="L5" s="381"/>
      <c r="M5" s="381"/>
      <c r="N5" s="381"/>
      <c r="O5" s="381"/>
      <c r="P5" s="381" t="s">
        <v>6061</v>
      </c>
      <c r="Q5" s="381"/>
      <c r="R5" s="381"/>
      <c r="S5" s="381"/>
      <c r="T5" s="381"/>
      <c r="U5" s="382"/>
      <c r="V5" s="370"/>
      <c r="W5" s="370"/>
      <c r="X5" s="370"/>
      <c r="Y5" s="370"/>
      <c r="Z5" s="370"/>
      <c r="AA5" s="370"/>
      <c r="AB5" s="370"/>
      <c r="AC5" s="370"/>
      <c r="AD5" s="370"/>
      <c r="AE5" s="370"/>
      <c r="AF5" s="370"/>
      <c r="AG5" s="370"/>
      <c r="AH5" s="370"/>
      <c r="AI5" s="370"/>
      <c r="AJ5" s="370"/>
      <c r="AK5" s="370"/>
      <c r="AL5" s="370"/>
      <c r="AM5" s="370"/>
      <c r="AN5" s="370"/>
      <c r="AO5" s="370"/>
      <c r="AP5" s="370"/>
      <c r="AQ5" s="370"/>
      <c r="AR5" s="370"/>
      <c r="AS5" s="370"/>
      <c r="AT5" s="370"/>
      <c r="AU5" s="371"/>
      <c r="AV5" s="371"/>
      <c r="AW5" s="371"/>
      <c r="AX5" s="371"/>
      <c r="AY5" s="371"/>
      <c r="AZ5" s="371"/>
      <c r="BA5" s="371"/>
      <c r="BB5" s="371"/>
      <c r="BC5" s="371"/>
      <c r="BD5" s="371"/>
      <c r="BE5" s="371"/>
      <c r="BF5" s="371"/>
      <c r="BG5" s="371"/>
      <c r="BH5" s="371"/>
      <c r="BI5" s="371"/>
      <c r="BJ5" s="370"/>
      <c r="BK5" s="370"/>
      <c r="BL5" s="370"/>
      <c r="BM5" s="370"/>
      <c r="BN5" s="370"/>
      <c r="BO5" s="370"/>
      <c r="BP5" s="370"/>
      <c r="BQ5" s="370"/>
      <c r="BR5" s="370"/>
      <c r="BS5" s="370"/>
      <c r="BT5" s="370"/>
      <c r="BU5" s="370"/>
      <c r="BV5" s="370"/>
      <c r="BW5" s="370"/>
      <c r="BX5" s="370"/>
      <c r="BY5" s="370"/>
      <c r="BZ5" s="370"/>
      <c r="CA5" s="370"/>
      <c r="CB5" s="370"/>
      <c r="CC5" s="370"/>
      <c r="CD5" s="370"/>
      <c r="CE5" s="370"/>
      <c r="CF5" s="370"/>
      <c r="CG5" s="370"/>
      <c r="CH5" s="370"/>
      <c r="CI5" s="370"/>
      <c r="CJ5" s="370"/>
      <c r="CK5" s="370"/>
      <c r="CL5" s="370"/>
      <c r="CM5" s="370"/>
      <c r="CN5" s="370"/>
      <c r="CO5" s="370"/>
      <c r="CP5" s="370"/>
      <c r="CQ5" s="370"/>
      <c r="CR5" s="370"/>
      <c r="CS5" s="370"/>
      <c r="CT5" s="370"/>
      <c r="CU5" s="370"/>
      <c r="CV5" s="370"/>
      <c r="CW5" s="371"/>
      <c r="CX5" s="371"/>
      <c r="CY5" s="371"/>
      <c r="CZ5" s="371"/>
      <c r="DA5" s="370"/>
      <c r="DB5" s="370"/>
      <c r="DC5" s="370"/>
      <c r="DD5" s="370"/>
      <c r="DE5" s="370"/>
      <c r="DF5" s="370"/>
      <c r="DG5" s="370"/>
      <c r="DH5" s="370"/>
    </row>
    <row r="6" spans="1:112" s="236" customFormat="1" ht="15" customHeight="1">
      <c r="A6" s="234" t="s">
        <v>2850</v>
      </c>
      <c r="B6" s="233"/>
      <c r="C6" s="232"/>
      <c r="D6" s="232" t="s">
        <v>3081</v>
      </c>
      <c r="E6" s="232"/>
      <c r="F6" s="232"/>
      <c r="G6" s="233" t="s">
        <v>3082</v>
      </c>
      <c r="H6" s="232"/>
      <c r="I6" s="232"/>
      <c r="J6" s="232"/>
      <c r="K6" s="232" t="s">
        <v>3083</v>
      </c>
      <c r="L6" s="232"/>
      <c r="M6" s="232"/>
      <c r="N6" s="232"/>
      <c r="O6" s="232" t="s">
        <v>3084</v>
      </c>
      <c r="P6" s="232"/>
      <c r="Q6" s="232"/>
      <c r="R6" s="232"/>
      <c r="S6" s="232"/>
      <c r="T6" s="232"/>
      <c r="U6" s="235"/>
      <c r="V6" s="223"/>
      <c r="W6" s="223"/>
      <c r="X6" s="223"/>
      <c r="Y6" s="223"/>
      <c r="Z6" s="223"/>
      <c r="AA6" s="223"/>
      <c r="AB6" s="223"/>
      <c r="AC6" s="223"/>
      <c r="AD6" s="223"/>
      <c r="AE6" s="223"/>
      <c r="AF6" s="223"/>
      <c r="AG6" s="223"/>
      <c r="AH6" s="201"/>
      <c r="AI6" s="223"/>
      <c r="AJ6" s="223"/>
      <c r="AK6" s="223"/>
      <c r="AL6" s="223"/>
      <c r="AM6" s="223"/>
      <c r="AN6" s="223"/>
      <c r="AO6" s="223"/>
      <c r="AP6" s="223"/>
      <c r="AQ6" s="223"/>
      <c r="AR6" s="223"/>
      <c r="AS6" s="223"/>
      <c r="AT6" s="223"/>
      <c r="AU6" s="201"/>
      <c r="AV6" s="223"/>
      <c r="AW6" s="223"/>
      <c r="AX6" s="223"/>
      <c r="AY6" s="223"/>
      <c r="AZ6" s="223"/>
      <c r="BA6" s="223"/>
      <c r="BB6" s="223"/>
      <c r="BC6" s="223"/>
      <c r="BD6" s="223"/>
      <c r="BE6" s="223"/>
      <c r="BF6" s="223"/>
      <c r="BG6" s="223"/>
      <c r="BH6" s="223"/>
      <c r="BI6" s="223"/>
      <c r="BJ6" s="201"/>
      <c r="BK6" s="223"/>
      <c r="BL6" s="223"/>
      <c r="BM6" s="201"/>
      <c r="BN6" s="223"/>
      <c r="BO6" s="223"/>
      <c r="BP6" s="223"/>
      <c r="BQ6" s="223"/>
      <c r="BR6" s="223"/>
      <c r="BS6" s="223"/>
      <c r="BT6" s="223"/>
      <c r="BU6" s="223"/>
      <c r="BV6" s="223"/>
      <c r="BW6" s="223"/>
      <c r="BX6" s="223"/>
      <c r="BY6" s="223"/>
      <c r="BZ6" s="201"/>
      <c r="CA6" s="201"/>
      <c r="CB6" s="201"/>
      <c r="CC6" s="201"/>
      <c r="CD6" s="201"/>
      <c r="CE6" s="201"/>
      <c r="CF6" s="201"/>
      <c r="CG6" s="223"/>
      <c r="CH6" s="223"/>
      <c r="CI6" s="223"/>
      <c r="CJ6" s="223"/>
      <c r="CK6" s="223"/>
      <c r="CL6" s="223"/>
      <c r="CM6" s="223"/>
      <c r="CN6" s="201"/>
      <c r="CO6" s="223"/>
      <c r="CP6" s="223"/>
      <c r="CQ6" s="223"/>
      <c r="CR6" s="223"/>
      <c r="CS6" s="223"/>
      <c r="CT6" s="223"/>
      <c r="CU6" s="223"/>
      <c r="CV6" s="223"/>
      <c r="CW6" s="201"/>
      <c r="CX6" s="223"/>
      <c r="CY6" s="223"/>
      <c r="CZ6" s="223"/>
      <c r="DA6" s="201"/>
      <c r="DB6" s="223"/>
      <c r="DC6" s="223"/>
      <c r="DD6" s="223"/>
      <c r="DE6" s="223"/>
      <c r="DF6" s="223"/>
      <c r="DG6" s="223"/>
      <c r="DH6" s="223"/>
    </row>
    <row r="7" spans="1:112" ht="15" customHeight="1">
      <c r="A7" s="53" t="s">
        <v>2851</v>
      </c>
      <c r="B7" s="227"/>
      <c r="C7" s="228"/>
      <c r="D7" s="227" t="s">
        <v>3085</v>
      </c>
      <c r="E7" s="227"/>
      <c r="F7" s="229"/>
      <c r="G7" s="227" t="s">
        <v>3086</v>
      </c>
      <c r="H7" s="228"/>
      <c r="I7" s="227"/>
      <c r="J7" s="227"/>
      <c r="K7" s="228" t="s">
        <v>3087</v>
      </c>
      <c r="L7" s="228"/>
      <c r="M7" s="228"/>
      <c r="N7" s="228"/>
      <c r="O7" s="228" t="s">
        <v>3088</v>
      </c>
      <c r="P7" s="228"/>
      <c r="Q7" s="228"/>
      <c r="R7" s="228"/>
      <c r="S7" s="228"/>
      <c r="T7" s="228"/>
      <c r="U7" s="230"/>
      <c r="V7" s="73"/>
      <c r="W7" s="223"/>
      <c r="X7" s="73"/>
      <c r="Y7" s="73"/>
      <c r="Z7" s="73"/>
      <c r="AA7" s="73"/>
      <c r="AB7" s="73"/>
      <c r="AC7" s="73"/>
      <c r="AD7" s="73"/>
      <c r="AE7" s="73"/>
      <c r="AF7" s="73"/>
      <c r="AG7" s="73"/>
      <c r="AH7" s="223"/>
      <c r="AI7" s="73"/>
      <c r="AJ7" s="223"/>
      <c r="AK7" s="73"/>
      <c r="AL7" s="73"/>
      <c r="AM7" s="73"/>
      <c r="AN7" s="73"/>
      <c r="AO7" s="73"/>
      <c r="AP7" s="73"/>
      <c r="AQ7" s="73"/>
      <c r="AR7" s="73"/>
      <c r="AS7" s="73"/>
      <c r="AT7" s="73"/>
      <c r="AU7" s="223"/>
      <c r="AV7" s="223"/>
      <c r="AW7" s="73"/>
      <c r="AX7" s="223"/>
      <c r="AY7" s="223"/>
      <c r="AZ7" s="73"/>
      <c r="BA7" s="73"/>
      <c r="BB7" s="73"/>
      <c r="BC7" s="73"/>
      <c r="BD7" s="73"/>
      <c r="BE7" s="73"/>
      <c r="BF7" s="73"/>
      <c r="BG7" s="73"/>
      <c r="BH7" s="73"/>
      <c r="BI7" s="73"/>
      <c r="BJ7" s="223"/>
      <c r="BK7" s="73"/>
      <c r="BL7" s="73"/>
      <c r="BM7" s="223"/>
      <c r="BN7" s="73"/>
      <c r="BO7" s="223"/>
      <c r="BP7" s="223"/>
      <c r="BQ7" s="223"/>
      <c r="BR7" s="223"/>
      <c r="BS7" s="223"/>
      <c r="BT7" s="223"/>
      <c r="BU7" s="223"/>
      <c r="BV7" s="223"/>
      <c r="BW7" s="223"/>
      <c r="BX7" s="223"/>
      <c r="BY7" s="223"/>
      <c r="BZ7" s="201"/>
      <c r="CA7" s="201"/>
      <c r="CB7" s="201"/>
      <c r="CC7" s="225"/>
      <c r="CD7" s="202"/>
      <c r="CE7" s="202"/>
      <c r="CF7" s="223"/>
      <c r="CG7" s="73"/>
      <c r="CH7" s="223"/>
      <c r="CI7" s="223"/>
      <c r="CJ7" s="223"/>
      <c r="CK7" s="223"/>
      <c r="CL7" s="223"/>
      <c r="CM7" s="223"/>
      <c r="CN7" s="223"/>
      <c r="CO7" s="73"/>
      <c r="CP7" s="223"/>
      <c r="CQ7" s="223"/>
      <c r="CR7" s="223"/>
      <c r="CS7" s="223"/>
      <c r="CT7" s="223"/>
      <c r="CU7" s="223"/>
      <c r="CV7" s="223"/>
      <c r="CW7" s="223"/>
      <c r="CX7" s="223"/>
      <c r="CY7" s="73"/>
      <c r="CZ7" s="73"/>
      <c r="DA7" s="223"/>
      <c r="DB7" s="73"/>
      <c r="DC7" s="223"/>
      <c r="DD7" s="223"/>
      <c r="DE7" s="223"/>
      <c r="DF7" s="223"/>
      <c r="DG7" s="223"/>
      <c r="DH7" s="223"/>
    </row>
    <row r="8" spans="1:112" ht="15" customHeight="1">
      <c r="A8" s="48" t="s">
        <v>2858</v>
      </c>
      <c r="B8" s="223"/>
      <c r="C8" s="73"/>
      <c r="D8" s="223" t="s">
        <v>3089</v>
      </c>
      <c r="E8" s="223"/>
      <c r="F8" s="224"/>
      <c r="G8" s="223" t="s">
        <v>3090</v>
      </c>
      <c r="H8" s="73"/>
      <c r="I8" s="223"/>
      <c r="J8" s="223"/>
      <c r="K8" s="73"/>
      <c r="L8" s="73"/>
      <c r="M8" s="73"/>
      <c r="N8" s="73"/>
      <c r="O8" s="73" t="s">
        <v>3091</v>
      </c>
      <c r="P8" s="73"/>
      <c r="Q8" s="73"/>
      <c r="R8" s="73"/>
      <c r="S8" s="73"/>
      <c r="T8" s="73"/>
      <c r="U8" s="226"/>
      <c r="V8" s="73"/>
      <c r="W8" s="223"/>
      <c r="X8" s="73"/>
      <c r="Y8" s="73"/>
      <c r="Z8" s="73"/>
      <c r="AA8" s="73"/>
      <c r="AB8" s="73"/>
      <c r="AC8" s="73"/>
      <c r="AD8" s="73"/>
      <c r="AE8" s="73"/>
      <c r="AF8" s="73"/>
      <c r="AG8" s="73"/>
      <c r="AH8" s="223"/>
      <c r="AI8" s="73"/>
      <c r="AJ8" s="223"/>
      <c r="AK8" s="73"/>
      <c r="AL8" s="73"/>
      <c r="AM8" s="73"/>
      <c r="AN8" s="73"/>
      <c r="AO8" s="73"/>
      <c r="AP8" s="73"/>
      <c r="AQ8" s="73"/>
      <c r="AR8" s="73"/>
      <c r="AS8" s="73"/>
      <c r="AT8" s="73"/>
      <c r="AU8" s="223"/>
      <c r="AV8" s="223"/>
      <c r="AW8" s="73"/>
      <c r="AX8" s="223"/>
      <c r="AY8" s="223"/>
      <c r="AZ8" s="73"/>
      <c r="BA8" s="73"/>
      <c r="BB8" s="73"/>
      <c r="BC8" s="73"/>
      <c r="BD8" s="73"/>
      <c r="BE8" s="73"/>
      <c r="BF8" s="73"/>
      <c r="BG8" s="73"/>
      <c r="BH8" s="73"/>
      <c r="BI8" s="73"/>
      <c r="BJ8" s="223"/>
      <c r="BK8" s="73"/>
      <c r="BL8" s="73"/>
      <c r="BM8" s="223"/>
      <c r="BN8" s="73"/>
      <c r="BO8" s="223"/>
      <c r="BP8" s="223"/>
      <c r="BQ8" s="223"/>
      <c r="BR8" s="223"/>
      <c r="BS8" s="223"/>
      <c r="BT8" s="223"/>
      <c r="BU8" s="223"/>
      <c r="BV8" s="223"/>
      <c r="BW8" s="223"/>
      <c r="BX8" s="223"/>
      <c r="BY8" s="223"/>
      <c r="BZ8" s="201"/>
      <c r="CA8" s="201"/>
      <c r="CB8" s="201"/>
      <c r="CC8" s="225"/>
      <c r="CD8" s="202"/>
      <c r="CE8" s="202"/>
      <c r="CF8" s="223"/>
      <c r="CG8" s="73"/>
      <c r="CH8" s="223"/>
      <c r="CI8" s="223"/>
      <c r="CJ8" s="223"/>
      <c r="CK8" s="223"/>
      <c r="CL8" s="223"/>
      <c r="CM8" s="223"/>
      <c r="CN8" s="223"/>
      <c r="CO8" s="73"/>
      <c r="CP8" s="223"/>
      <c r="CQ8" s="223"/>
      <c r="CR8" s="223"/>
      <c r="CS8" s="223"/>
      <c r="CT8" s="223"/>
      <c r="CU8" s="223"/>
      <c r="CV8" s="223"/>
      <c r="CW8" s="223"/>
      <c r="CX8" s="223"/>
      <c r="CY8" s="73"/>
      <c r="CZ8" s="73"/>
      <c r="DA8" s="223"/>
      <c r="DB8" s="73"/>
      <c r="DC8" s="223"/>
      <c r="DD8" s="223"/>
      <c r="DE8" s="223"/>
      <c r="DF8" s="223"/>
      <c r="DG8" s="223"/>
      <c r="DH8" s="223"/>
    </row>
    <row r="9" spans="1:112" ht="15" customHeight="1">
      <c r="A9" s="48" t="s">
        <v>2852</v>
      </c>
      <c r="B9" s="223"/>
      <c r="C9" s="73"/>
      <c r="D9" s="223" t="s">
        <v>3092</v>
      </c>
      <c r="E9" s="223"/>
      <c r="F9" s="224"/>
      <c r="G9" s="223" t="s">
        <v>2999</v>
      </c>
      <c r="H9" s="73"/>
      <c r="I9" s="223"/>
      <c r="J9" s="223"/>
      <c r="K9" s="73"/>
      <c r="L9" s="73"/>
      <c r="M9" s="73"/>
      <c r="N9" s="73"/>
      <c r="O9" s="73" t="s">
        <v>3093</v>
      </c>
      <c r="P9" s="73"/>
      <c r="Q9" s="73"/>
      <c r="R9" s="73"/>
      <c r="S9" s="73"/>
      <c r="T9" s="73"/>
      <c r="U9" s="226"/>
      <c r="V9" s="73"/>
      <c r="W9" s="223"/>
      <c r="X9" s="73"/>
      <c r="Y9" s="73"/>
      <c r="Z9" s="73"/>
      <c r="AA9" s="73"/>
      <c r="AB9" s="73"/>
      <c r="AC9" s="73"/>
      <c r="AD9" s="73"/>
      <c r="AE9" s="73"/>
      <c r="AF9" s="73"/>
      <c r="AG9" s="73"/>
      <c r="AH9" s="223"/>
      <c r="AI9" s="73"/>
      <c r="AJ9" s="223"/>
      <c r="AK9" s="73"/>
      <c r="AL9" s="73"/>
      <c r="AM9" s="73"/>
      <c r="AN9" s="73"/>
      <c r="AO9" s="73"/>
      <c r="AP9" s="73"/>
      <c r="AQ9" s="73"/>
      <c r="AR9" s="73"/>
      <c r="AS9" s="73"/>
      <c r="AT9" s="73"/>
      <c r="AU9" s="223"/>
      <c r="AV9" s="223"/>
      <c r="AW9" s="73"/>
      <c r="AX9" s="223"/>
      <c r="AY9" s="223"/>
      <c r="AZ9" s="73"/>
      <c r="BA9" s="73"/>
      <c r="BB9" s="73"/>
      <c r="BC9" s="73"/>
      <c r="BD9" s="73"/>
      <c r="BE9" s="73"/>
      <c r="BF9" s="73"/>
      <c r="BG9" s="73"/>
      <c r="BH9" s="73"/>
      <c r="BI9" s="73"/>
      <c r="BJ9" s="223"/>
      <c r="BK9" s="73"/>
      <c r="BL9" s="73"/>
      <c r="BM9" s="223"/>
      <c r="BN9" s="73"/>
      <c r="BO9" s="223"/>
      <c r="BP9" s="223"/>
      <c r="BQ9" s="223"/>
      <c r="BR9" s="223"/>
      <c r="BS9" s="223"/>
      <c r="BT9" s="223"/>
      <c r="BU9" s="223"/>
      <c r="BV9" s="223"/>
      <c r="BW9" s="223"/>
      <c r="BX9" s="223"/>
      <c r="BY9" s="223"/>
      <c r="BZ9" s="201"/>
      <c r="CA9" s="201"/>
      <c r="CB9" s="201"/>
      <c r="CC9" s="225"/>
      <c r="CD9" s="202"/>
      <c r="CE9" s="202"/>
      <c r="CF9" s="223"/>
      <c r="CG9" s="73"/>
      <c r="CH9" s="223"/>
      <c r="CI9" s="223"/>
      <c r="CJ9" s="223"/>
      <c r="CK9" s="223"/>
      <c r="CL9" s="223"/>
      <c r="CM9" s="223"/>
      <c r="CN9" s="223"/>
      <c r="CO9" s="73"/>
      <c r="CP9" s="223"/>
      <c r="CQ9" s="223"/>
      <c r="CR9" s="223"/>
      <c r="CS9" s="223"/>
      <c r="CT9" s="223"/>
      <c r="CU9" s="223"/>
      <c r="CV9" s="223"/>
      <c r="CW9" s="223"/>
      <c r="CX9" s="223"/>
      <c r="CY9" s="73"/>
      <c r="CZ9" s="73"/>
      <c r="DA9" s="223"/>
      <c r="DB9" s="73"/>
      <c r="DC9" s="223"/>
      <c r="DD9" s="223"/>
      <c r="DE9" s="223"/>
      <c r="DF9" s="223"/>
      <c r="DG9" s="223"/>
      <c r="DH9" s="223"/>
    </row>
    <row r="10" spans="1:112" ht="15" customHeight="1">
      <c r="A10" s="53" t="s">
        <v>2853</v>
      </c>
      <c r="B10" s="227" t="s">
        <v>3094</v>
      </c>
      <c r="C10" s="228" t="s">
        <v>3095</v>
      </c>
      <c r="D10" s="227"/>
      <c r="E10" s="227"/>
      <c r="F10" s="229"/>
      <c r="G10" s="227" t="s">
        <v>3096</v>
      </c>
      <c r="H10" s="228"/>
      <c r="I10" s="227" t="s">
        <v>3097</v>
      </c>
      <c r="J10" s="227"/>
      <c r="K10" s="228"/>
      <c r="L10" s="228"/>
      <c r="M10" s="228"/>
      <c r="N10" s="228"/>
      <c r="O10" s="228"/>
      <c r="P10" s="228"/>
      <c r="Q10" s="228"/>
      <c r="R10" s="228" t="s">
        <v>3098</v>
      </c>
      <c r="S10" s="228"/>
      <c r="T10" s="228"/>
      <c r="U10" s="230"/>
      <c r="V10" s="73"/>
      <c r="W10" s="223"/>
      <c r="X10" s="73"/>
      <c r="Y10" s="73"/>
      <c r="Z10" s="73"/>
      <c r="AA10" s="73"/>
      <c r="AB10" s="73"/>
      <c r="AC10" s="73"/>
      <c r="AD10" s="73"/>
      <c r="AE10" s="73"/>
      <c r="AF10" s="73"/>
      <c r="AG10" s="73"/>
      <c r="AH10" s="223"/>
      <c r="AI10" s="73"/>
      <c r="AJ10" s="223"/>
      <c r="AK10" s="73"/>
      <c r="AL10" s="73"/>
      <c r="AM10" s="73"/>
      <c r="AN10" s="73"/>
      <c r="AO10" s="73"/>
      <c r="AP10" s="73"/>
      <c r="AQ10" s="73"/>
      <c r="AR10" s="73"/>
      <c r="AS10" s="73"/>
      <c r="AT10" s="73"/>
      <c r="AU10" s="223"/>
      <c r="AV10" s="223"/>
      <c r="AW10" s="73"/>
      <c r="AX10" s="223"/>
      <c r="AY10" s="223"/>
      <c r="AZ10" s="73"/>
      <c r="BA10" s="73"/>
      <c r="BB10" s="73"/>
      <c r="BC10" s="73"/>
      <c r="BD10" s="73"/>
      <c r="BE10" s="73"/>
      <c r="BF10" s="73"/>
      <c r="BG10" s="73"/>
      <c r="BH10" s="73"/>
      <c r="BI10" s="73"/>
      <c r="BJ10" s="223"/>
      <c r="BK10" s="73"/>
      <c r="BL10" s="73"/>
      <c r="BM10" s="223"/>
      <c r="BN10" s="73"/>
      <c r="BO10" s="223"/>
      <c r="BP10" s="223"/>
      <c r="BQ10" s="223"/>
      <c r="BR10" s="223"/>
      <c r="BS10" s="223"/>
      <c r="BT10" s="223"/>
      <c r="BU10" s="223"/>
      <c r="BV10" s="223"/>
      <c r="BW10" s="223"/>
      <c r="BX10" s="223"/>
      <c r="BY10" s="223"/>
      <c r="BZ10" s="201"/>
      <c r="CA10" s="201"/>
      <c r="CB10" s="201"/>
      <c r="CC10" s="225"/>
      <c r="CD10" s="202"/>
      <c r="CE10" s="202"/>
      <c r="CF10" s="223"/>
      <c r="CG10" s="73"/>
      <c r="CH10" s="223"/>
      <c r="CI10" s="223"/>
      <c r="CJ10" s="223"/>
      <c r="CK10" s="223"/>
      <c r="CL10" s="223"/>
      <c r="CM10" s="223"/>
      <c r="CN10" s="223"/>
      <c r="CO10" s="73"/>
      <c r="CP10" s="223"/>
      <c r="CQ10" s="223"/>
      <c r="CR10" s="223"/>
      <c r="CS10" s="223"/>
      <c r="CT10" s="223"/>
      <c r="CU10" s="223"/>
      <c r="CV10" s="223"/>
      <c r="CW10" s="223"/>
      <c r="CX10" s="223"/>
      <c r="CY10" s="73"/>
      <c r="CZ10" s="73"/>
      <c r="DA10" s="223"/>
      <c r="DB10" s="73"/>
      <c r="DC10" s="223"/>
      <c r="DD10" s="223"/>
      <c r="DE10" s="223"/>
      <c r="DF10" s="223"/>
      <c r="DG10" s="223"/>
      <c r="DH10" s="223"/>
    </row>
    <row r="11" spans="1:112" ht="15" customHeight="1">
      <c r="A11" s="53" t="s">
        <v>2854</v>
      </c>
      <c r="B11" s="227" t="s">
        <v>3099</v>
      </c>
      <c r="C11" s="228" t="s">
        <v>3100</v>
      </c>
      <c r="D11" s="227"/>
      <c r="E11" s="227"/>
      <c r="F11" s="229"/>
      <c r="G11" s="227" t="s">
        <v>3101</v>
      </c>
      <c r="H11" s="228"/>
      <c r="I11" s="227" t="s">
        <v>3097</v>
      </c>
      <c r="J11" s="227"/>
      <c r="K11" s="228"/>
      <c r="L11" s="228"/>
      <c r="M11" s="228"/>
      <c r="N11" s="228"/>
      <c r="O11" s="228"/>
      <c r="P11" s="228"/>
      <c r="Q11" s="228"/>
      <c r="R11" s="228" t="s">
        <v>3102</v>
      </c>
      <c r="S11" s="228"/>
      <c r="T11" s="228"/>
      <c r="U11" s="230"/>
      <c r="V11" s="73"/>
      <c r="W11" s="223"/>
      <c r="X11" s="73"/>
      <c r="Y11" s="73"/>
      <c r="Z11" s="73"/>
      <c r="AA11" s="73"/>
      <c r="AB11" s="73"/>
      <c r="AC11" s="73"/>
      <c r="AD11" s="73"/>
      <c r="AE11" s="73"/>
      <c r="AF11" s="73"/>
      <c r="AG11" s="73"/>
      <c r="AH11" s="223"/>
      <c r="AI11" s="73"/>
      <c r="AJ11" s="223"/>
      <c r="AK11" s="73"/>
      <c r="AL11" s="73"/>
      <c r="AM11" s="73"/>
      <c r="AN11" s="73"/>
      <c r="AO11" s="73"/>
      <c r="AP11" s="73"/>
      <c r="AQ11" s="73"/>
      <c r="AR11" s="73"/>
      <c r="AS11" s="73"/>
      <c r="AT11" s="73"/>
      <c r="AU11" s="223"/>
      <c r="AV11" s="223"/>
      <c r="AW11" s="73"/>
      <c r="AX11" s="223"/>
      <c r="AY11" s="223"/>
      <c r="AZ11" s="73"/>
      <c r="BA11" s="73"/>
      <c r="BB11" s="73"/>
      <c r="BC11" s="73"/>
      <c r="BD11" s="73"/>
      <c r="BE11" s="73"/>
      <c r="BF11" s="73"/>
      <c r="BG11" s="73"/>
      <c r="BH11" s="73"/>
      <c r="BI11" s="73"/>
      <c r="BJ11" s="223"/>
      <c r="BK11" s="73"/>
      <c r="BL11" s="73"/>
      <c r="BM11" s="223"/>
      <c r="BN11" s="73"/>
      <c r="BO11" s="223"/>
      <c r="BP11" s="223"/>
      <c r="BQ11" s="223"/>
      <c r="BR11" s="223"/>
      <c r="BS11" s="223"/>
      <c r="BT11" s="223"/>
      <c r="BU11" s="223"/>
      <c r="BV11" s="223"/>
      <c r="BW11" s="223"/>
      <c r="BX11" s="223"/>
      <c r="BY11" s="223"/>
      <c r="BZ11" s="201"/>
      <c r="CA11" s="201"/>
      <c r="CB11" s="201"/>
      <c r="CC11" s="225"/>
      <c r="CD11" s="202"/>
      <c r="CE11" s="202"/>
      <c r="CF11" s="223"/>
      <c r="CG11" s="73"/>
      <c r="CH11" s="223"/>
      <c r="CI11" s="223"/>
      <c r="CJ11" s="223"/>
      <c r="CK11" s="223"/>
      <c r="CL11" s="223"/>
      <c r="CM11" s="223"/>
      <c r="CN11" s="223"/>
      <c r="CO11" s="73"/>
      <c r="CP11" s="223"/>
      <c r="CQ11" s="223"/>
      <c r="CR11" s="223"/>
      <c r="CS11" s="223"/>
      <c r="CT11" s="223"/>
      <c r="CU11" s="223"/>
      <c r="CV11" s="223"/>
      <c r="CW11" s="223"/>
      <c r="CX11" s="223"/>
      <c r="CY11" s="73"/>
      <c r="CZ11" s="73"/>
      <c r="DA11" s="223"/>
      <c r="DB11" s="73"/>
      <c r="DC11" s="223"/>
      <c r="DD11" s="223"/>
      <c r="DE11" s="223"/>
      <c r="DF11" s="223"/>
      <c r="DG11" s="223"/>
      <c r="DH11" s="223"/>
    </row>
    <row r="12" spans="1:112" ht="15" customHeight="1">
      <c r="A12" s="53" t="s">
        <v>2855</v>
      </c>
      <c r="B12" s="227" t="s">
        <v>3103</v>
      </c>
      <c r="C12" s="228" t="s">
        <v>3104</v>
      </c>
      <c r="D12" s="227"/>
      <c r="E12" s="227"/>
      <c r="F12" s="229"/>
      <c r="G12" s="227" t="s">
        <v>3105</v>
      </c>
      <c r="H12" s="228"/>
      <c r="I12" s="227" t="s">
        <v>3106</v>
      </c>
      <c r="J12" s="227"/>
      <c r="K12" s="228"/>
      <c r="L12" s="228"/>
      <c r="M12" s="228"/>
      <c r="N12" s="228"/>
      <c r="O12" s="228"/>
      <c r="P12" s="228"/>
      <c r="Q12" s="228"/>
      <c r="R12" s="228" t="s">
        <v>3107</v>
      </c>
      <c r="S12" s="228"/>
      <c r="T12" s="228"/>
      <c r="U12" s="230"/>
      <c r="V12" s="73"/>
      <c r="W12" s="223"/>
      <c r="X12" s="73"/>
      <c r="Y12" s="73"/>
      <c r="Z12" s="73"/>
      <c r="AA12" s="73"/>
      <c r="AB12" s="73"/>
      <c r="AC12" s="73"/>
      <c r="AD12" s="73"/>
      <c r="AE12" s="73"/>
      <c r="AF12" s="73"/>
      <c r="AG12" s="73"/>
      <c r="AH12" s="223"/>
      <c r="AI12" s="73"/>
      <c r="AJ12" s="223"/>
      <c r="AK12" s="73"/>
      <c r="AL12" s="73"/>
      <c r="AM12" s="73"/>
      <c r="AN12" s="73"/>
      <c r="AO12" s="73"/>
      <c r="AP12" s="73"/>
      <c r="AQ12" s="73"/>
      <c r="AR12" s="73"/>
      <c r="AS12" s="73"/>
      <c r="AT12" s="73"/>
      <c r="AU12" s="223"/>
      <c r="AV12" s="223"/>
      <c r="AW12" s="73"/>
      <c r="AX12" s="223"/>
      <c r="AY12" s="223"/>
      <c r="AZ12" s="73"/>
      <c r="BA12" s="73"/>
      <c r="BB12" s="73"/>
      <c r="BC12" s="73"/>
      <c r="BD12" s="73"/>
      <c r="BE12" s="73"/>
      <c r="BF12" s="73"/>
      <c r="BG12" s="73"/>
      <c r="BH12" s="73"/>
      <c r="BI12" s="73"/>
      <c r="BJ12" s="223"/>
      <c r="BK12" s="73"/>
      <c r="BL12" s="73"/>
      <c r="BM12" s="223"/>
      <c r="BN12" s="73"/>
      <c r="BO12" s="223"/>
      <c r="BP12" s="223"/>
      <c r="BQ12" s="223"/>
      <c r="BR12" s="223"/>
      <c r="BS12" s="223"/>
      <c r="BT12" s="223"/>
      <c r="BU12" s="223"/>
      <c r="BV12" s="223"/>
      <c r="BW12" s="223"/>
      <c r="BX12" s="223"/>
      <c r="BY12" s="223"/>
      <c r="BZ12" s="201"/>
      <c r="CA12" s="201"/>
      <c r="CB12" s="201"/>
      <c r="CC12" s="225"/>
      <c r="CD12" s="202"/>
      <c r="CE12" s="202"/>
      <c r="CF12" s="223"/>
      <c r="CG12" s="73"/>
      <c r="CH12" s="223"/>
      <c r="CI12" s="223"/>
      <c r="CJ12" s="223"/>
      <c r="CK12" s="223"/>
      <c r="CL12" s="223"/>
      <c r="CM12" s="223"/>
      <c r="CN12" s="223"/>
      <c r="CO12" s="73"/>
      <c r="CP12" s="223"/>
      <c r="CQ12" s="223"/>
      <c r="CR12" s="223"/>
      <c r="CS12" s="223"/>
      <c r="CT12" s="223"/>
      <c r="CU12" s="223"/>
      <c r="CV12" s="223"/>
      <c r="CW12" s="223"/>
      <c r="CX12" s="223"/>
      <c r="CY12" s="73"/>
      <c r="CZ12" s="73"/>
      <c r="DA12" s="223"/>
      <c r="DB12" s="73"/>
      <c r="DC12" s="223"/>
      <c r="DD12" s="223"/>
      <c r="DE12" s="223"/>
      <c r="DF12" s="223"/>
      <c r="DG12" s="223"/>
      <c r="DH12" s="223"/>
    </row>
    <row r="13" spans="1:112" ht="15" customHeight="1">
      <c r="A13" s="53" t="s">
        <v>2856</v>
      </c>
      <c r="B13" s="227" t="s">
        <v>3108</v>
      </c>
      <c r="C13" s="228" t="s">
        <v>3109</v>
      </c>
      <c r="D13" s="227"/>
      <c r="E13" s="227"/>
      <c r="F13" s="229"/>
      <c r="G13" s="228" t="s">
        <v>3110</v>
      </c>
      <c r="H13" s="228"/>
      <c r="I13" s="227" t="s">
        <v>3097</v>
      </c>
      <c r="J13" s="227"/>
      <c r="K13" s="228"/>
      <c r="L13" s="228"/>
      <c r="M13" s="228"/>
      <c r="N13" s="228"/>
      <c r="O13" s="228"/>
      <c r="P13" s="228"/>
      <c r="Q13" s="228"/>
      <c r="R13" s="228" t="s">
        <v>3111</v>
      </c>
      <c r="S13" s="228"/>
      <c r="T13" s="228"/>
      <c r="U13" s="230"/>
      <c r="V13" s="73"/>
      <c r="W13" s="223"/>
      <c r="X13" s="73"/>
      <c r="Y13" s="73"/>
      <c r="Z13" s="73"/>
      <c r="AA13" s="73"/>
      <c r="AB13" s="73"/>
      <c r="AC13" s="73"/>
      <c r="AD13" s="73"/>
      <c r="AE13" s="73"/>
      <c r="AF13" s="73"/>
      <c r="AG13" s="73"/>
      <c r="AH13" s="223"/>
      <c r="AI13" s="73"/>
      <c r="AJ13" s="223"/>
      <c r="AK13" s="73"/>
      <c r="AL13" s="73"/>
      <c r="AM13" s="73"/>
      <c r="AN13" s="73"/>
      <c r="AO13" s="73"/>
      <c r="AP13" s="73"/>
      <c r="AQ13" s="73"/>
      <c r="AR13" s="73"/>
      <c r="AS13" s="73"/>
      <c r="AT13" s="73"/>
      <c r="AU13" s="223"/>
      <c r="AV13" s="223"/>
      <c r="AW13" s="73"/>
      <c r="AX13" s="223"/>
      <c r="AY13" s="223"/>
      <c r="AZ13" s="73"/>
      <c r="BA13" s="73"/>
      <c r="BB13" s="73"/>
      <c r="BC13" s="73"/>
      <c r="BD13" s="73"/>
      <c r="BE13" s="73"/>
      <c r="BF13" s="73"/>
      <c r="BG13" s="73"/>
      <c r="BH13" s="73"/>
      <c r="BI13" s="73"/>
      <c r="BJ13" s="223"/>
      <c r="BK13" s="73"/>
      <c r="BL13" s="73"/>
      <c r="BM13" s="223"/>
      <c r="BN13" s="73"/>
      <c r="BO13" s="223"/>
      <c r="BP13" s="223"/>
      <c r="BQ13" s="223"/>
      <c r="BR13" s="223"/>
      <c r="BS13" s="223"/>
      <c r="BT13" s="223"/>
      <c r="BU13" s="223"/>
      <c r="BV13" s="223"/>
      <c r="BW13" s="223"/>
      <c r="BX13" s="223"/>
      <c r="BY13" s="223"/>
      <c r="BZ13" s="201"/>
      <c r="CA13" s="201"/>
      <c r="CB13" s="201"/>
      <c r="CC13" s="225"/>
      <c r="CD13" s="202"/>
      <c r="CE13" s="202"/>
      <c r="CF13" s="223"/>
      <c r="CG13" s="73"/>
      <c r="CH13" s="223"/>
      <c r="CI13" s="223"/>
      <c r="CJ13" s="223"/>
      <c r="CK13" s="223"/>
      <c r="CL13" s="223"/>
      <c r="CM13" s="223"/>
      <c r="CN13" s="223"/>
      <c r="CO13" s="73"/>
      <c r="CP13" s="223"/>
      <c r="CQ13" s="223"/>
      <c r="CR13" s="223"/>
      <c r="CS13" s="223"/>
      <c r="CT13" s="223"/>
      <c r="CU13" s="223"/>
      <c r="CV13" s="223"/>
      <c r="CW13" s="223"/>
      <c r="CX13" s="223"/>
      <c r="CY13" s="73"/>
      <c r="CZ13" s="73"/>
      <c r="DA13" s="223"/>
      <c r="DB13" s="73"/>
      <c r="DC13" s="223"/>
      <c r="DD13" s="223"/>
      <c r="DE13" s="223"/>
      <c r="DF13" s="223"/>
      <c r="DG13" s="223"/>
      <c r="DH13" s="223"/>
    </row>
    <row r="14" spans="1:112" ht="15" customHeight="1">
      <c r="A14" s="53" t="s">
        <v>2857</v>
      </c>
      <c r="B14" s="227" t="s">
        <v>3112</v>
      </c>
      <c r="C14" s="228" t="s">
        <v>3113</v>
      </c>
      <c r="D14" s="227"/>
      <c r="E14" s="227"/>
      <c r="F14" s="229"/>
      <c r="G14" s="227" t="s">
        <v>3114</v>
      </c>
      <c r="H14" s="228"/>
      <c r="I14" s="227" t="s">
        <v>3106</v>
      </c>
      <c r="J14" s="227"/>
      <c r="K14" s="228"/>
      <c r="L14" s="228"/>
      <c r="M14" s="228"/>
      <c r="N14" s="228"/>
      <c r="O14" s="228"/>
      <c r="P14" s="228"/>
      <c r="Q14" s="228"/>
      <c r="R14" s="228" t="s">
        <v>3115</v>
      </c>
      <c r="S14" s="228"/>
      <c r="T14" s="228"/>
      <c r="U14" s="230"/>
      <c r="V14" s="73"/>
      <c r="W14" s="223"/>
      <c r="X14" s="73"/>
      <c r="Y14" s="73"/>
      <c r="Z14" s="73"/>
      <c r="AA14" s="73"/>
      <c r="AB14" s="73"/>
      <c r="AC14" s="73"/>
      <c r="AD14" s="73"/>
      <c r="AE14" s="73"/>
      <c r="AF14" s="73"/>
      <c r="AG14" s="73"/>
      <c r="AH14" s="223"/>
      <c r="AI14" s="73"/>
      <c r="AJ14" s="223"/>
      <c r="AK14" s="73"/>
      <c r="AL14" s="73"/>
      <c r="AM14" s="73"/>
      <c r="AN14" s="73"/>
      <c r="AO14" s="73"/>
      <c r="AP14" s="73"/>
      <c r="AQ14" s="73"/>
      <c r="AR14" s="73"/>
      <c r="AS14" s="73"/>
      <c r="AT14" s="73"/>
      <c r="AU14" s="223"/>
      <c r="AV14" s="223"/>
      <c r="AW14" s="73"/>
      <c r="AX14" s="223"/>
      <c r="AY14" s="223"/>
      <c r="AZ14" s="73"/>
      <c r="BA14" s="73"/>
      <c r="BB14" s="73"/>
      <c r="BC14" s="73"/>
      <c r="BD14" s="73"/>
      <c r="BE14" s="73"/>
      <c r="BF14" s="73"/>
      <c r="BG14" s="73"/>
      <c r="BH14" s="73"/>
      <c r="BI14" s="73"/>
      <c r="BJ14" s="223"/>
      <c r="BK14" s="73"/>
      <c r="BL14" s="73"/>
      <c r="BM14" s="223"/>
      <c r="BN14" s="73"/>
      <c r="BO14" s="223"/>
      <c r="BP14" s="223"/>
      <c r="BQ14" s="223"/>
      <c r="BR14" s="223"/>
      <c r="BS14" s="223"/>
      <c r="BT14" s="223"/>
      <c r="BU14" s="223"/>
      <c r="BV14" s="223"/>
      <c r="BW14" s="223"/>
      <c r="BX14" s="223"/>
      <c r="BY14" s="223"/>
      <c r="BZ14" s="201"/>
      <c r="CA14" s="201"/>
      <c r="CB14" s="201"/>
      <c r="CC14" s="225"/>
      <c r="CD14" s="202"/>
      <c r="CE14" s="202"/>
      <c r="CF14" s="223"/>
      <c r="CG14" s="73"/>
      <c r="CH14" s="223"/>
      <c r="CI14" s="223"/>
      <c r="CJ14" s="223"/>
      <c r="CK14" s="223"/>
      <c r="CL14" s="223"/>
      <c r="CM14" s="223"/>
      <c r="CN14" s="223"/>
      <c r="CO14" s="73"/>
      <c r="CP14" s="223"/>
      <c r="CQ14" s="223"/>
      <c r="CR14" s="223"/>
      <c r="CS14" s="223"/>
      <c r="CT14" s="223"/>
      <c r="CU14" s="223"/>
      <c r="CV14" s="223"/>
      <c r="CW14" s="223"/>
      <c r="CX14" s="223"/>
      <c r="CY14" s="73"/>
      <c r="CZ14" s="73"/>
      <c r="DA14" s="223"/>
      <c r="DB14" s="73"/>
      <c r="DC14" s="223"/>
      <c r="DD14" s="223"/>
      <c r="DE14" s="223"/>
      <c r="DF14" s="223"/>
      <c r="DG14" s="223"/>
      <c r="DH14" s="223"/>
    </row>
    <row r="15" spans="1:112" ht="15" customHeight="1">
      <c r="A15" s="53" t="s">
        <v>2859</v>
      </c>
      <c r="B15" s="227" t="s">
        <v>3116</v>
      </c>
      <c r="C15" s="228" t="s">
        <v>3117</v>
      </c>
      <c r="D15" s="227"/>
      <c r="E15" s="227"/>
      <c r="F15" s="229"/>
      <c r="G15" s="227" t="s">
        <v>3118</v>
      </c>
      <c r="H15" s="228"/>
      <c r="I15" s="227" t="s">
        <v>3097</v>
      </c>
      <c r="J15" s="227"/>
      <c r="K15" s="228"/>
      <c r="L15" s="228"/>
      <c r="M15" s="228"/>
      <c r="N15" s="228"/>
      <c r="O15" s="228"/>
      <c r="P15" s="228"/>
      <c r="Q15" s="228"/>
      <c r="R15" s="228" t="s">
        <v>3119</v>
      </c>
      <c r="S15" s="228"/>
      <c r="T15" s="228"/>
      <c r="U15" s="230"/>
      <c r="V15" s="73"/>
      <c r="W15" s="223"/>
      <c r="X15" s="73"/>
      <c r="Y15" s="73"/>
      <c r="Z15" s="73"/>
      <c r="AA15" s="73"/>
      <c r="AB15" s="73"/>
      <c r="AC15" s="73"/>
      <c r="AD15" s="73"/>
      <c r="AE15" s="73"/>
      <c r="AF15" s="73"/>
      <c r="AG15" s="73"/>
      <c r="AH15" s="223"/>
      <c r="AI15" s="73"/>
      <c r="AJ15" s="223"/>
      <c r="AK15" s="73"/>
      <c r="AL15" s="73"/>
      <c r="AM15" s="73"/>
      <c r="AN15" s="73"/>
      <c r="AO15" s="73"/>
      <c r="AP15" s="73"/>
      <c r="AQ15" s="73"/>
      <c r="AR15" s="73"/>
      <c r="AS15" s="73"/>
      <c r="AT15" s="73"/>
      <c r="AU15" s="223"/>
      <c r="AV15" s="223"/>
      <c r="AW15" s="73"/>
      <c r="AX15" s="223"/>
      <c r="AY15" s="223"/>
      <c r="AZ15" s="73"/>
      <c r="BA15" s="73"/>
      <c r="BB15" s="73"/>
      <c r="BC15" s="73"/>
      <c r="BD15" s="73"/>
      <c r="BE15" s="73"/>
      <c r="BF15" s="73"/>
      <c r="BG15" s="73"/>
      <c r="BH15" s="73"/>
      <c r="BI15" s="73"/>
      <c r="BJ15" s="223"/>
      <c r="BK15" s="73"/>
      <c r="BL15" s="73"/>
      <c r="BM15" s="223"/>
      <c r="BN15" s="73"/>
      <c r="BO15" s="223"/>
      <c r="BP15" s="223"/>
      <c r="BQ15" s="223"/>
      <c r="BR15" s="223"/>
      <c r="BS15" s="223"/>
      <c r="BT15" s="223"/>
      <c r="BU15" s="223"/>
      <c r="BV15" s="223"/>
      <c r="BW15" s="223"/>
      <c r="BX15" s="223"/>
      <c r="BY15" s="223"/>
      <c r="BZ15" s="201"/>
      <c r="CA15" s="201"/>
      <c r="CB15" s="201"/>
      <c r="CC15" s="225"/>
      <c r="CD15" s="202"/>
      <c r="CE15" s="202"/>
      <c r="CF15" s="223"/>
      <c r="CG15" s="73"/>
      <c r="CH15" s="223"/>
      <c r="CI15" s="223"/>
      <c r="CJ15" s="223"/>
      <c r="CK15" s="223"/>
      <c r="CL15" s="223"/>
      <c r="CM15" s="223"/>
      <c r="CN15" s="223"/>
      <c r="CO15" s="73"/>
      <c r="CP15" s="223"/>
      <c r="CQ15" s="223"/>
      <c r="CR15" s="223"/>
      <c r="CS15" s="223"/>
      <c r="CT15" s="223"/>
      <c r="CU15" s="223"/>
      <c r="CV15" s="223"/>
      <c r="CW15" s="223"/>
      <c r="CX15" s="223"/>
      <c r="CY15" s="73"/>
      <c r="CZ15" s="73"/>
      <c r="DA15" s="223"/>
      <c r="DB15" s="73"/>
      <c r="DC15" s="223"/>
      <c r="DD15" s="223"/>
      <c r="DE15" s="223"/>
      <c r="DF15" s="223"/>
      <c r="DG15" s="223"/>
      <c r="DH15" s="223"/>
    </row>
    <row r="16" spans="1:112" ht="15" customHeight="1">
      <c r="A16" s="53" t="s">
        <v>2860</v>
      </c>
      <c r="B16" s="227" t="s">
        <v>3120</v>
      </c>
      <c r="C16" s="228" t="s">
        <v>3121</v>
      </c>
      <c r="D16" s="227"/>
      <c r="E16" s="227"/>
      <c r="F16" s="229"/>
      <c r="G16" s="227" t="s">
        <v>3122</v>
      </c>
      <c r="H16" s="228"/>
      <c r="I16" s="227" t="s">
        <v>3097</v>
      </c>
      <c r="J16" s="227"/>
      <c r="K16" s="228"/>
      <c r="L16" s="228"/>
      <c r="M16" s="228"/>
      <c r="N16" s="228"/>
      <c r="O16" s="228"/>
      <c r="P16" s="228"/>
      <c r="Q16" s="228"/>
      <c r="R16" s="228" t="s">
        <v>3123</v>
      </c>
      <c r="S16" s="228"/>
      <c r="T16" s="228"/>
      <c r="U16" s="230"/>
      <c r="V16" s="73"/>
      <c r="W16" s="223"/>
      <c r="X16" s="73"/>
      <c r="Y16" s="73"/>
      <c r="Z16" s="73"/>
      <c r="AA16" s="73"/>
      <c r="AB16" s="73"/>
      <c r="AC16" s="73"/>
      <c r="AD16" s="73"/>
      <c r="AE16" s="73"/>
      <c r="AF16" s="73"/>
      <c r="AG16" s="73"/>
      <c r="AH16" s="223"/>
      <c r="AI16" s="73"/>
      <c r="AJ16" s="223"/>
      <c r="AK16" s="73"/>
      <c r="AL16" s="73"/>
      <c r="AM16" s="73"/>
      <c r="AN16" s="73"/>
      <c r="AO16" s="73"/>
      <c r="AP16" s="73"/>
      <c r="AQ16" s="73"/>
      <c r="AR16" s="73"/>
      <c r="AS16" s="73"/>
      <c r="AT16" s="73"/>
      <c r="AU16" s="223"/>
      <c r="AV16" s="223"/>
      <c r="AW16" s="73"/>
      <c r="AX16" s="223"/>
      <c r="AY16" s="223"/>
      <c r="AZ16" s="73"/>
      <c r="BA16" s="73"/>
      <c r="BB16" s="73"/>
      <c r="BC16" s="73"/>
      <c r="BD16" s="73"/>
      <c r="BE16" s="73"/>
      <c r="BF16" s="73"/>
      <c r="BG16" s="73"/>
      <c r="BH16" s="73"/>
      <c r="BI16" s="73"/>
      <c r="BJ16" s="223"/>
      <c r="BK16" s="73"/>
      <c r="BL16" s="73"/>
      <c r="BM16" s="223"/>
      <c r="BN16" s="73"/>
      <c r="BO16" s="223"/>
      <c r="BP16" s="223"/>
      <c r="BQ16" s="223"/>
      <c r="BR16" s="223"/>
      <c r="BS16" s="223"/>
      <c r="BT16" s="223"/>
      <c r="BU16" s="223"/>
      <c r="BV16" s="223"/>
      <c r="BW16" s="223"/>
      <c r="BX16" s="223"/>
      <c r="BY16" s="223"/>
      <c r="BZ16" s="201"/>
      <c r="CA16" s="201"/>
      <c r="CB16" s="201"/>
      <c r="CC16" s="225"/>
      <c r="CD16" s="202"/>
      <c r="CE16" s="202"/>
      <c r="CF16" s="223"/>
      <c r="CG16" s="73"/>
      <c r="CH16" s="223"/>
      <c r="CI16" s="223"/>
      <c r="CJ16" s="223"/>
      <c r="CK16" s="223"/>
      <c r="CL16" s="223"/>
      <c r="CM16" s="223"/>
      <c r="CN16" s="223"/>
      <c r="CO16" s="73"/>
      <c r="CP16" s="223"/>
      <c r="CQ16" s="223"/>
      <c r="CR16" s="223"/>
      <c r="CS16" s="223"/>
      <c r="CT16" s="223"/>
      <c r="CU16" s="223"/>
      <c r="CV16" s="223"/>
      <c r="CW16" s="223"/>
      <c r="CX16" s="223"/>
      <c r="CY16" s="73"/>
      <c r="CZ16" s="73"/>
      <c r="DA16" s="223"/>
      <c r="DB16" s="73"/>
      <c r="DC16" s="223"/>
      <c r="DD16" s="223"/>
      <c r="DE16" s="223"/>
      <c r="DF16" s="223"/>
      <c r="DG16" s="223"/>
      <c r="DH16" s="223"/>
    </row>
    <row r="17" spans="1:112" ht="15" customHeight="1">
      <c r="A17" s="53" t="s">
        <v>2861</v>
      </c>
      <c r="B17" s="227" t="s">
        <v>3124</v>
      </c>
      <c r="C17" s="228" t="s">
        <v>3125</v>
      </c>
      <c r="D17" s="227"/>
      <c r="E17" s="227"/>
      <c r="F17" s="229"/>
      <c r="G17" s="227" t="s">
        <v>3126</v>
      </c>
      <c r="H17" s="228"/>
      <c r="I17" s="227" t="s">
        <v>3097</v>
      </c>
      <c r="J17" s="227"/>
      <c r="K17" s="228"/>
      <c r="L17" s="228"/>
      <c r="M17" s="228"/>
      <c r="N17" s="228"/>
      <c r="O17" s="228"/>
      <c r="P17" s="228"/>
      <c r="Q17" s="228"/>
      <c r="R17" s="228" t="s">
        <v>3127</v>
      </c>
      <c r="S17" s="228"/>
      <c r="T17" s="228"/>
      <c r="U17" s="230"/>
      <c r="V17" s="73"/>
      <c r="W17" s="223"/>
      <c r="X17" s="73"/>
      <c r="Y17" s="73"/>
      <c r="Z17" s="73"/>
      <c r="AA17" s="73"/>
      <c r="AB17" s="73"/>
      <c r="AC17" s="73"/>
      <c r="AD17" s="73"/>
      <c r="AE17" s="73"/>
      <c r="AF17" s="73"/>
      <c r="AG17" s="73"/>
      <c r="AH17" s="223"/>
      <c r="AI17" s="73"/>
      <c r="AJ17" s="223"/>
      <c r="AK17" s="73"/>
      <c r="AL17" s="73"/>
      <c r="AM17" s="73"/>
      <c r="AN17" s="73"/>
      <c r="AO17" s="73"/>
      <c r="AP17" s="73"/>
      <c r="AQ17" s="73"/>
      <c r="AR17" s="73"/>
      <c r="AS17" s="73"/>
      <c r="AT17" s="73"/>
      <c r="AU17" s="223"/>
      <c r="AV17" s="223"/>
      <c r="AW17" s="73"/>
      <c r="AX17" s="223"/>
      <c r="AY17" s="223"/>
      <c r="AZ17" s="73"/>
      <c r="BA17" s="73"/>
      <c r="BB17" s="73"/>
      <c r="BC17" s="73"/>
      <c r="BD17" s="73"/>
      <c r="BE17" s="73"/>
      <c r="BF17" s="73"/>
      <c r="BG17" s="73"/>
      <c r="BH17" s="73"/>
      <c r="BI17" s="73"/>
      <c r="BJ17" s="223"/>
      <c r="BK17" s="73"/>
      <c r="BL17" s="73"/>
      <c r="BM17" s="223"/>
      <c r="BN17" s="73"/>
      <c r="BO17" s="223"/>
      <c r="BP17" s="223"/>
      <c r="BQ17" s="223"/>
      <c r="BR17" s="223"/>
      <c r="BS17" s="223"/>
      <c r="BT17" s="223"/>
      <c r="BU17" s="223"/>
      <c r="BV17" s="223"/>
      <c r="BW17" s="223"/>
      <c r="BX17" s="223"/>
      <c r="BY17" s="223"/>
      <c r="BZ17" s="201"/>
      <c r="CA17" s="201"/>
      <c r="CB17" s="201"/>
      <c r="CC17" s="225"/>
      <c r="CD17" s="202"/>
      <c r="CE17" s="202"/>
      <c r="CF17" s="223"/>
      <c r="CG17" s="73"/>
      <c r="CH17" s="223"/>
      <c r="CI17" s="223"/>
      <c r="CJ17" s="223"/>
      <c r="CK17" s="223"/>
      <c r="CL17" s="223"/>
      <c r="CM17" s="223"/>
      <c r="CN17" s="223"/>
      <c r="CO17" s="73"/>
      <c r="CP17" s="223"/>
      <c r="CQ17" s="223"/>
      <c r="CR17" s="223"/>
      <c r="CS17" s="223"/>
      <c r="CT17" s="223"/>
      <c r="CU17" s="223"/>
      <c r="CV17" s="223"/>
      <c r="CW17" s="223"/>
      <c r="CX17" s="223"/>
      <c r="CY17" s="73"/>
      <c r="CZ17" s="73"/>
      <c r="DA17" s="223"/>
      <c r="DB17" s="73"/>
      <c r="DC17" s="223"/>
      <c r="DD17" s="223"/>
      <c r="DE17" s="223"/>
      <c r="DF17" s="223"/>
      <c r="DG17" s="223"/>
      <c r="DH17" s="223"/>
    </row>
    <row r="18" spans="1:112" ht="15" customHeight="1">
      <c r="A18" s="48" t="s">
        <v>2864</v>
      </c>
      <c r="B18" s="223"/>
      <c r="C18" s="73" t="s">
        <v>3133</v>
      </c>
      <c r="D18" s="223" t="s">
        <v>3134</v>
      </c>
      <c r="E18" s="223"/>
      <c r="F18" s="224"/>
      <c r="G18" s="223" t="s">
        <v>3135</v>
      </c>
      <c r="H18" s="73"/>
      <c r="I18" s="223"/>
      <c r="J18" s="223"/>
      <c r="K18" s="73" t="s">
        <v>3136</v>
      </c>
      <c r="L18" s="73"/>
      <c r="M18" s="73"/>
      <c r="N18" s="73"/>
      <c r="O18" s="73" t="s">
        <v>3137</v>
      </c>
      <c r="P18" s="73"/>
      <c r="Q18" s="73"/>
      <c r="R18" s="73"/>
      <c r="S18" s="73"/>
      <c r="T18" s="73"/>
      <c r="U18" s="226"/>
      <c r="V18" s="73"/>
      <c r="W18" s="223"/>
      <c r="X18" s="73"/>
      <c r="Y18" s="73"/>
      <c r="Z18" s="73"/>
      <c r="AA18" s="73"/>
      <c r="AB18" s="73"/>
      <c r="AC18" s="73"/>
      <c r="AD18" s="73"/>
      <c r="AE18" s="73"/>
      <c r="AF18" s="73"/>
      <c r="AG18" s="73"/>
      <c r="AH18" s="223"/>
      <c r="AI18" s="73"/>
      <c r="AJ18" s="223"/>
      <c r="AK18" s="73"/>
      <c r="AL18" s="73"/>
      <c r="AM18" s="73"/>
      <c r="AN18" s="73"/>
      <c r="AO18" s="73"/>
      <c r="AP18" s="73"/>
      <c r="AQ18" s="73"/>
      <c r="AR18" s="73"/>
      <c r="AS18" s="73"/>
      <c r="AT18" s="73"/>
      <c r="AU18" s="223"/>
      <c r="AV18" s="223"/>
      <c r="AW18" s="73"/>
      <c r="AX18" s="223"/>
      <c r="AY18" s="223"/>
      <c r="AZ18" s="73"/>
      <c r="BA18" s="73"/>
      <c r="BB18" s="73"/>
      <c r="BC18" s="73"/>
      <c r="BD18" s="73"/>
      <c r="BE18" s="73"/>
      <c r="BF18" s="73"/>
      <c r="BG18" s="73"/>
      <c r="BH18" s="73"/>
      <c r="BI18" s="73"/>
      <c r="BJ18" s="223"/>
      <c r="BK18" s="73"/>
      <c r="BL18" s="73"/>
      <c r="BM18" s="223"/>
      <c r="BN18" s="73"/>
      <c r="BO18" s="223"/>
      <c r="BP18" s="223"/>
      <c r="BQ18" s="223"/>
      <c r="BR18" s="223"/>
      <c r="BS18" s="223"/>
      <c r="BT18" s="223"/>
      <c r="BU18" s="223"/>
      <c r="BV18" s="223"/>
      <c r="BW18" s="223"/>
      <c r="BX18" s="223"/>
      <c r="BY18" s="223"/>
      <c r="BZ18" s="201"/>
      <c r="CA18" s="201"/>
      <c r="CB18" s="201"/>
      <c r="CC18" s="225"/>
      <c r="CD18" s="202"/>
      <c r="CE18" s="202"/>
      <c r="CF18" s="223"/>
      <c r="CG18" s="73"/>
      <c r="CH18" s="223"/>
      <c r="CI18" s="223"/>
      <c r="CJ18" s="223"/>
      <c r="CK18" s="223"/>
      <c r="CL18" s="223"/>
      <c r="CM18" s="223"/>
      <c r="CN18" s="223"/>
      <c r="CO18" s="73"/>
      <c r="CP18" s="223"/>
      <c r="CQ18" s="223"/>
      <c r="CR18" s="223"/>
      <c r="CS18" s="223"/>
      <c r="CT18" s="223"/>
      <c r="CU18" s="223"/>
      <c r="CV18" s="223"/>
      <c r="CW18" s="223"/>
      <c r="CX18" s="223"/>
      <c r="CY18" s="73"/>
      <c r="CZ18" s="73"/>
      <c r="DA18" s="223"/>
      <c r="DB18" s="73"/>
      <c r="DC18" s="223"/>
      <c r="DD18" s="223"/>
      <c r="DE18" s="223"/>
      <c r="DF18" s="223"/>
      <c r="DG18" s="223"/>
      <c r="DH18" s="223"/>
    </row>
    <row r="19" spans="1:112" ht="15" customHeight="1">
      <c r="A19" s="48" t="s">
        <v>2865</v>
      </c>
      <c r="B19" s="223"/>
      <c r="C19" s="73" t="s">
        <v>3129</v>
      </c>
      <c r="D19" s="223"/>
      <c r="E19" s="223"/>
      <c r="F19" s="224"/>
      <c r="G19" s="223" t="s">
        <v>3130</v>
      </c>
      <c r="H19" s="73"/>
      <c r="I19" s="223"/>
      <c r="J19" s="223"/>
      <c r="K19" s="73" t="s">
        <v>3131</v>
      </c>
      <c r="L19" s="73"/>
      <c r="M19" s="73"/>
      <c r="N19" s="73"/>
      <c r="O19" s="73" t="s">
        <v>3132</v>
      </c>
      <c r="P19" s="73"/>
      <c r="Q19" s="73"/>
      <c r="R19" s="73"/>
      <c r="S19" s="73"/>
      <c r="T19" s="73"/>
      <c r="U19" s="226"/>
      <c r="V19" s="73"/>
      <c r="W19" s="223"/>
      <c r="X19" s="73"/>
      <c r="Y19" s="73"/>
      <c r="Z19" s="73"/>
      <c r="AA19" s="73"/>
      <c r="AB19" s="73"/>
      <c r="AC19" s="73"/>
      <c r="AD19" s="73"/>
      <c r="AE19" s="73"/>
      <c r="AF19" s="73"/>
      <c r="AG19" s="73"/>
      <c r="AH19" s="223"/>
      <c r="AI19" s="73"/>
      <c r="AJ19" s="223"/>
      <c r="AK19" s="73"/>
      <c r="AL19" s="73"/>
      <c r="AM19" s="73"/>
      <c r="AN19" s="73"/>
      <c r="AO19" s="73"/>
      <c r="AP19" s="73"/>
      <c r="AQ19" s="73"/>
      <c r="AR19" s="73"/>
      <c r="AS19" s="73"/>
      <c r="AT19" s="73"/>
      <c r="AU19" s="223"/>
      <c r="AV19" s="223"/>
      <c r="AW19" s="73"/>
      <c r="AX19" s="223"/>
      <c r="AY19" s="223"/>
      <c r="AZ19" s="73"/>
      <c r="BA19" s="73"/>
      <c r="BB19" s="73"/>
      <c r="BC19" s="73"/>
      <c r="BD19" s="73"/>
      <c r="BE19" s="73"/>
      <c r="BF19" s="73"/>
      <c r="BG19" s="73"/>
      <c r="BH19" s="73"/>
      <c r="BI19" s="73"/>
      <c r="BJ19" s="223"/>
      <c r="BK19" s="73"/>
      <c r="BL19" s="73"/>
      <c r="BM19" s="223"/>
      <c r="BN19" s="73"/>
      <c r="BO19" s="223"/>
      <c r="BP19" s="223"/>
      <c r="BQ19" s="223"/>
      <c r="BR19" s="223"/>
      <c r="BS19" s="223"/>
      <c r="BT19" s="223"/>
      <c r="BU19" s="223"/>
      <c r="BV19" s="223"/>
      <c r="BW19" s="223"/>
      <c r="BX19" s="223"/>
      <c r="BY19" s="223"/>
      <c r="BZ19" s="201"/>
      <c r="CA19" s="201"/>
      <c r="CB19" s="201"/>
      <c r="CC19" s="225"/>
      <c r="CD19" s="202"/>
      <c r="CE19" s="202"/>
      <c r="CF19" s="223"/>
      <c r="CG19" s="73"/>
      <c r="CH19" s="223"/>
      <c r="CI19" s="223"/>
      <c r="CJ19" s="223"/>
      <c r="CK19" s="223"/>
      <c r="CL19" s="223"/>
      <c r="CM19" s="223"/>
      <c r="CN19" s="223"/>
      <c r="CO19" s="73"/>
      <c r="CP19" s="223"/>
      <c r="CQ19" s="223"/>
      <c r="CR19" s="223"/>
      <c r="CS19" s="223"/>
      <c r="CT19" s="223"/>
      <c r="CU19" s="223"/>
      <c r="CV19" s="223"/>
      <c r="CW19" s="223"/>
      <c r="CX19" s="223"/>
      <c r="CY19" s="73"/>
      <c r="CZ19" s="73"/>
      <c r="DA19" s="223"/>
      <c r="DB19" s="73"/>
      <c r="DC19" s="223"/>
      <c r="DD19" s="223"/>
      <c r="DE19" s="223"/>
      <c r="DF19" s="223"/>
      <c r="DG19" s="223"/>
      <c r="DH19" s="223"/>
    </row>
    <row r="20" spans="1:112" ht="15" customHeight="1">
      <c r="A20" s="53" t="s">
        <v>235</v>
      </c>
      <c r="B20" s="227" t="s">
        <v>3138</v>
      </c>
      <c r="C20" s="228"/>
      <c r="D20" s="227"/>
      <c r="E20" s="227"/>
      <c r="F20" s="229"/>
      <c r="G20" s="227" t="s">
        <v>3139</v>
      </c>
      <c r="H20" s="228"/>
      <c r="I20" s="227"/>
      <c r="J20" s="227"/>
      <c r="K20" s="228"/>
      <c r="L20" s="228"/>
      <c r="M20" s="228"/>
      <c r="N20" s="228"/>
      <c r="O20" s="228" t="s">
        <v>3140</v>
      </c>
      <c r="P20" s="228"/>
      <c r="Q20" s="228"/>
      <c r="R20" s="228"/>
      <c r="S20" s="228" t="s">
        <v>3141</v>
      </c>
      <c r="T20" s="228"/>
      <c r="U20" s="230"/>
      <c r="V20" s="73"/>
      <c r="W20" s="223"/>
      <c r="X20" s="73"/>
      <c r="Y20" s="73"/>
      <c r="Z20" s="73"/>
      <c r="AA20" s="73"/>
      <c r="AB20" s="73"/>
      <c r="AC20" s="73"/>
      <c r="AD20" s="73"/>
      <c r="AE20" s="73"/>
      <c r="AF20" s="73"/>
      <c r="AG20" s="73"/>
      <c r="AH20" s="223"/>
      <c r="AI20" s="73"/>
      <c r="AJ20" s="223"/>
      <c r="AK20" s="73"/>
      <c r="AL20" s="73"/>
      <c r="AM20" s="73"/>
      <c r="AN20" s="73"/>
      <c r="AO20" s="73"/>
      <c r="AP20" s="73"/>
      <c r="AQ20" s="73"/>
      <c r="AR20" s="73"/>
      <c r="AS20" s="73"/>
      <c r="AT20" s="73"/>
      <c r="AU20" s="223"/>
      <c r="AV20" s="223"/>
      <c r="AW20" s="73"/>
      <c r="AX20" s="223"/>
      <c r="AY20" s="223"/>
      <c r="AZ20" s="73"/>
      <c r="BA20" s="73"/>
      <c r="BB20" s="73"/>
      <c r="BC20" s="73"/>
      <c r="BD20" s="73"/>
      <c r="BE20" s="73"/>
      <c r="BF20" s="73"/>
      <c r="BG20" s="73"/>
      <c r="BH20" s="73"/>
      <c r="BI20" s="73"/>
      <c r="BJ20" s="223"/>
      <c r="BK20" s="73"/>
      <c r="BL20" s="73"/>
      <c r="BM20" s="223"/>
      <c r="BN20" s="73"/>
      <c r="BO20" s="223"/>
      <c r="BP20" s="223"/>
      <c r="BQ20" s="223"/>
      <c r="BR20" s="223"/>
      <c r="BS20" s="223"/>
      <c r="BT20" s="223"/>
      <c r="BU20" s="223"/>
      <c r="BV20" s="223"/>
      <c r="BW20" s="223"/>
      <c r="BX20" s="223"/>
      <c r="BY20" s="223"/>
      <c r="BZ20" s="201"/>
      <c r="CA20" s="201"/>
      <c r="CB20" s="201"/>
      <c r="CC20" s="225"/>
      <c r="CD20" s="202"/>
      <c r="CE20" s="202"/>
      <c r="CF20" s="223"/>
      <c r="CG20" s="73"/>
      <c r="CH20" s="223"/>
      <c r="CI20" s="223"/>
      <c r="CJ20" s="223"/>
      <c r="CK20" s="223"/>
      <c r="CL20" s="223"/>
      <c r="CM20" s="223"/>
      <c r="CN20" s="223"/>
      <c r="CO20" s="73"/>
      <c r="CP20" s="223"/>
      <c r="CQ20" s="223"/>
      <c r="CR20" s="223"/>
      <c r="CS20" s="223"/>
      <c r="CT20" s="223"/>
      <c r="CU20" s="223"/>
      <c r="CV20" s="223"/>
      <c r="CW20" s="223"/>
      <c r="CX20" s="223"/>
      <c r="CY20" s="73"/>
      <c r="CZ20" s="73"/>
      <c r="DA20" s="223"/>
      <c r="DB20" s="73"/>
      <c r="DC20" s="223"/>
      <c r="DD20" s="223"/>
      <c r="DE20" s="223"/>
      <c r="DF20" s="223"/>
      <c r="DG20" s="223"/>
      <c r="DH20" s="223"/>
    </row>
    <row r="21" spans="1:112" ht="15" customHeight="1">
      <c r="A21" s="53" t="s">
        <v>2868</v>
      </c>
      <c r="B21" s="227" t="s">
        <v>3142</v>
      </c>
      <c r="C21" s="228"/>
      <c r="D21" s="227"/>
      <c r="E21" s="227"/>
      <c r="F21" s="229"/>
      <c r="G21" s="227" t="s">
        <v>3143</v>
      </c>
      <c r="H21" s="228"/>
      <c r="I21" s="227"/>
      <c r="J21" s="227"/>
      <c r="K21" s="228"/>
      <c r="L21" s="228"/>
      <c r="M21" s="228"/>
      <c r="N21" s="228"/>
      <c r="O21" s="228" t="s">
        <v>3144</v>
      </c>
      <c r="P21" s="228"/>
      <c r="Q21" s="228"/>
      <c r="R21" s="228"/>
      <c r="S21" s="228" t="s">
        <v>3145</v>
      </c>
      <c r="T21" s="228"/>
      <c r="U21" s="230"/>
      <c r="V21" s="73"/>
      <c r="W21" s="223"/>
      <c r="X21" s="73"/>
      <c r="Y21" s="73"/>
      <c r="Z21" s="73"/>
      <c r="AA21" s="73"/>
      <c r="AB21" s="73"/>
      <c r="AC21" s="73"/>
      <c r="AD21" s="73"/>
      <c r="AE21" s="73"/>
      <c r="AF21" s="73"/>
      <c r="AG21" s="73"/>
      <c r="AH21" s="223"/>
      <c r="AI21" s="73"/>
      <c r="AJ21" s="223"/>
      <c r="AK21" s="73"/>
      <c r="AL21" s="73"/>
      <c r="AM21" s="73"/>
      <c r="AN21" s="73"/>
      <c r="AO21" s="73"/>
      <c r="AP21" s="73"/>
      <c r="AQ21" s="73"/>
      <c r="AR21" s="73"/>
      <c r="AS21" s="73"/>
      <c r="AT21" s="73"/>
      <c r="AU21" s="223"/>
      <c r="AV21" s="223"/>
      <c r="AW21" s="73"/>
      <c r="AX21" s="223"/>
      <c r="AY21" s="223"/>
      <c r="AZ21" s="73"/>
      <c r="BA21" s="73"/>
      <c r="BB21" s="73"/>
      <c r="BC21" s="73"/>
      <c r="BD21" s="73"/>
      <c r="BE21" s="73"/>
      <c r="BF21" s="73"/>
      <c r="BG21" s="73"/>
      <c r="BH21" s="73"/>
      <c r="BI21" s="73"/>
      <c r="BJ21" s="223"/>
      <c r="BK21" s="73"/>
      <c r="BL21" s="73"/>
      <c r="BM21" s="223"/>
      <c r="BN21" s="73"/>
      <c r="BO21" s="223"/>
      <c r="BP21" s="223"/>
      <c r="BQ21" s="223"/>
      <c r="BR21" s="223"/>
      <c r="BS21" s="223"/>
      <c r="BT21" s="223"/>
      <c r="BU21" s="223"/>
      <c r="BV21" s="223"/>
      <c r="BW21" s="223"/>
      <c r="BX21" s="223"/>
      <c r="BY21" s="223"/>
      <c r="BZ21" s="201"/>
      <c r="CA21" s="201"/>
      <c r="CB21" s="201"/>
      <c r="CC21" s="225"/>
      <c r="CD21" s="202"/>
      <c r="CE21" s="202"/>
      <c r="CF21" s="223"/>
      <c r="CG21" s="73"/>
      <c r="CH21" s="223"/>
      <c r="CI21" s="223"/>
      <c r="CJ21" s="223"/>
      <c r="CK21" s="223"/>
      <c r="CL21" s="223"/>
      <c r="CM21" s="223"/>
      <c r="CN21" s="223"/>
      <c r="CO21" s="73"/>
      <c r="CP21" s="223"/>
      <c r="CQ21" s="223"/>
      <c r="CR21" s="223"/>
      <c r="CS21" s="223"/>
      <c r="CT21" s="223"/>
      <c r="CU21" s="223"/>
      <c r="CV21" s="223"/>
      <c r="CW21" s="223"/>
      <c r="CX21" s="223"/>
      <c r="CY21" s="73"/>
      <c r="CZ21" s="73"/>
      <c r="DA21" s="223"/>
      <c r="DB21" s="73"/>
      <c r="DC21" s="223"/>
      <c r="DD21" s="223"/>
      <c r="DE21" s="223"/>
      <c r="DF21" s="223"/>
      <c r="DG21" s="223"/>
      <c r="DH21" s="223"/>
    </row>
    <row r="22" spans="1:112" ht="15" customHeight="1">
      <c r="A22" s="48" t="s">
        <v>3239</v>
      </c>
      <c r="B22" s="223"/>
      <c r="C22" s="73"/>
      <c r="D22" s="223" t="s">
        <v>3245</v>
      </c>
      <c r="E22" s="223"/>
      <c r="F22" s="224"/>
      <c r="G22" s="223"/>
      <c r="H22" s="73" t="s">
        <v>3246</v>
      </c>
      <c r="I22" s="223"/>
      <c r="J22" s="223"/>
      <c r="K22" s="73" t="s">
        <v>3247</v>
      </c>
      <c r="L22" s="73"/>
      <c r="M22" s="73"/>
      <c r="N22" s="73"/>
      <c r="O22" s="73"/>
      <c r="P22" s="73" t="s">
        <v>3248</v>
      </c>
      <c r="Q22" s="73"/>
      <c r="R22" s="73"/>
      <c r="S22" s="73" t="s">
        <v>3249</v>
      </c>
      <c r="T22" s="73"/>
      <c r="U22" s="226"/>
      <c r="V22" s="73"/>
      <c r="W22" s="223"/>
      <c r="X22" s="73"/>
      <c r="Y22" s="73"/>
      <c r="Z22" s="73"/>
      <c r="AA22" s="73"/>
      <c r="AB22" s="73"/>
      <c r="AC22" s="73"/>
      <c r="AD22" s="73"/>
      <c r="AE22" s="73"/>
      <c r="AF22" s="73"/>
      <c r="AG22" s="73"/>
      <c r="AH22" s="223"/>
      <c r="AI22" s="73"/>
      <c r="AJ22" s="223"/>
      <c r="AK22" s="73"/>
      <c r="AL22" s="73"/>
      <c r="AM22" s="73"/>
      <c r="AN22" s="73"/>
      <c r="AO22" s="73"/>
      <c r="AP22" s="73"/>
      <c r="AQ22" s="73"/>
      <c r="AR22" s="73"/>
      <c r="AS22" s="73"/>
      <c r="AT22" s="73"/>
      <c r="AU22" s="223"/>
      <c r="AV22" s="223"/>
      <c r="AW22" s="73"/>
      <c r="AX22" s="223"/>
      <c r="AY22" s="223"/>
      <c r="AZ22" s="73"/>
      <c r="BA22" s="73"/>
      <c r="BB22" s="73"/>
      <c r="BC22" s="73"/>
      <c r="BD22" s="73"/>
      <c r="BE22" s="73"/>
      <c r="BF22" s="73"/>
      <c r="BG22" s="73"/>
      <c r="BH22" s="73"/>
      <c r="BI22" s="73"/>
      <c r="BJ22" s="223"/>
      <c r="BK22" s="73"/>
      <c r="BL22" s="73"/>
      <c r="BM22" s="223"/>
      <c r="BN22" s="73"/>
      <c r="BO22" s="223"/>
      <c r="BP22" s="223"/>
      <c r="BQ22" s="223"/>
      <c r="BR22" s="223"/>
      <c r="BS22" s="223"/>
      <c r="BT22" s="223"/>
      <c r="BU22" s="223"/>
      <c r="BV22" s="223"/>
      <c r="BW22" s="223"/>
      <c r="BX22" s="223"/>
      <c r="BY22" s="223"/>
      <c r="BZ22" s="201"/>
      <c r="CA22" s="201"/>
      <c r="CB22" s="201"/>
      <c r="CC22" s="225"/>
      <c r="CD22" s="202"/>
      <c r="CE22" s="202"/>
      <c r="CF22" s="223"/>
      <c r="CG22" s="73"/>
      <c r="CH22" s="223"/>
      <c r="CI22" s="223"/>
      <c r="CJ22" s="223"/>
      <c r="CK22" s="223"/>
      <c r="CL22" s="223"/>
      <c r="CM22" s="223"/>
      <c r="CN22" s="223"/>
      <c r="CO22" s="73"/>
      <c r="CP22" s="223"/>
      <c r="CQ22" s="223"/>
      <c r="CR22" s="223"/>
      <c r="CS22" s="223"/>
      <c r="CT22" s="223"/>
      <c r="CU22" s="223"/>
      <c r="CV22" s="223"/>
      <c r="CW22" s="223"/>
      <c r="CX22" s="223"/>
      <c r="CY22" s="73"/>
      <c r="CZ22" s="73"/>
      <c r="DA22" s="223"/>
      <c r="DB22" s="73"/>
      <c r="DC22" s="223"/>
      <c r="DD22" s="223"/>
      <c r="DE22" s="223"/>
      <c r="DF22" s="223"/>
      <c r="DG22" s="223"/>
      <c r="DH22" s="223"/>
    </row>
    <row r="23" spans="1:112" ht="15" customHeight="1">
      <c r="A23" s="48" t="s">
        <v>3241</v>
      </c>
      <c r="B23" s="223" t="s">
        <v>3254</v>
      </c>
      <c r="C23" s="73"/>
      <c r="D23" s="223" t="s">
        <v>3250</v>
      </c>
      <c r="E23" s="223"/>
      <c r="F23" s="224"/>
      <c r="G23" s="223"/>
      <c r="H23" s="73" t="s">
        <v>3251</v>
      </c>
      <c r="I23" s="223"/>
      <c r="J23" s="223"/>
      <c r="K23" s="73" t="s">
        <v>3252</v>
      </c>
      <c r="L23" s="73"/>
      <c r="M23" s="73"/>
      <c r="N23" s="73"/>
      <c r="O23" s="73"/>
      <c r="P23" s="73" t="s">
        <v>3253</v>
      </c>
      <c r="Q23" s="73"/>
      <c r="R23" s="73"/>
      <c r="S23" s="73"/>
      <c r="T23" s="73"/>
      <c r="U23" s="226"/>
      <c r="V23" s="73"/>
      <c r="W23" s="223"/>
      <c r="X23" s="73"/>
      <c r="Y23" s="73"/>
      <c r="Z23" s="73"/>
      <c r="AA23" s="73"/>
      <c r="AB23" s="73"/>
      <c r="AC23" s="73"/>
      <c r="AD23" s="73"/>
      <c r="AE23" s="73"/>
      <c r="AF23" s="73"/>
      <c r="AG23" s="73"/>
      <c r="AH23" s="223"/>
      <c r="AI23" s="73"/>
      <c r="AJ23" s="223"/>
      <c r="AK23" s="73"/>
      <c r="AL23" s="73"/>
      <c r="AM23" s="73"/>
      <c r="AN23" s="73"/>
      <c r="AO23" s="73"/>
      <c r="AP23" s="73"/>
      <c r="AQ23" s="73"/>
      <c r="AR23" s="73"/>
      <c r="AS23" s="73"/>
      <c r="AT23" s="73"/>
      <c r="AU23" s="223"/>
      <c r="AV23" s="223"/>
      <c r="AW23" s="73"/>
      <c r="AX23" s="223"/>
      <c r="AY23" s="223"/>
      <c r="AZ23" s="73"/>
      <c r="BA23" s="73"/>
      <c r="BB23" s="73"/>
      <c r="BC23" s="73"/>
      <c r="BD23" s="73"/>
      <c r="BE23" s="73"/>
      <c r="BF23" s="73"/>
      <c r="BG23" s="73"/>
      <c r="BH23" s="73"/>
      <c r="BI23" s="73"/>
      <c r="BJ23" s="223"/>
      <c r="BK23" s="73"/>
      <c r="BL23" s="73"/>
      <c r="BM23" s="223"/>
      <c r="BN23" s="73"/>
      <c r="BO23" s="223"/>
      <c r="BP23" s="223"/>
      <c r="BQ23" s="223"/>
      <c r="BR23" s="223"/>
      <c r="BS23" s="223"/>
      <c r="BT23" s="223"/>
      <c r="BU23" s="223"/>
      <c r="BV23" s="223"/>
      <c r="BW23" s="223"/>
      <c r="BX23" s="223"/>
      <c r="BY23" s="223"/>
      <c r="BZ23" s="201"/>
      <c r="CA23" s="201"/>
      <c r="CB23" s="201"/>
      <c r="CC23" s="225"/>
      <c r="CD23" s="202"/>
      <c r="CE23" s="202"/>
      <c r="CF23" s="223"/>
      <c r="CG23" s="73"/>
      <c r="CH23" s="223"/>
      <c r="CI23" s="223"/>
      <c r="CJ23" s="223"/>
      <c r="CK23" s="223"/>
      <c r="CL23" s="223"/>
      <c r="CM23" s="223"/>
      <c r="CN23" s="223"/>
      <c r="CO23" s="73"/>
      <c r="CP23" s="223"/>
      <c r="CQ23" s="223"/>
      <c r="CR23" s="223"/>
      <c r="CS23" s="223"/>
      <c r="CT23" s="223"/>
      <c r="CU23" s="223"/>
      <c r="CV23" s="223"/>
      <c r="CW23" s="223"/>
      <c r="CX23" s="223"/>
      <c r="CY23" s="73"/>
      <c r="CZ23" s="73"/>
      <c r="DA23" s="223"/>
      <c r="DB23" s="73"/>
      <c r="DC23" s="223"/>
      <c r="DD23" s="223"/>
      <c r="DE23" s="223"/>
      <c r="DF23" s="223"/>
      <c r="DG23" s="223"/>
      <c r="DH23" s="223"/>
    </row>
    <row r="24" spans="1:112" ht="15" customHeight="1">
      <c r="A24" s="48" t="s">
        <v>3242</v>
      </c>
      <c r="B24" s="223"/>
      <c r="C24" s="73"/>
      <c r="D24" s="223" t="s">
        <v>3255</v>
      </c>
      <c r="E24" s="223"/>
      <c r="F24" s="224"/>
      <c r="G24" s="223"/>
      <c r="H24" s="73" t="s">
        <v>3256</v>
      </c>
      <c r="I24" s="223"/>
      <c r="J24" s="223"/>
      <c r="K24" s="73" t="s">
        <v>3257</v>
      </c>
      <c r="L24" s="73"/>
      <c r="M24" s="73"/>
      <c r="N24" s="73"/>
      <c r="O24" s="73"/>
      <c r="P24" s="73" t="s">
        <v>3258</v>
      </c>
      <c r="Q24" s="73"/>
      <c r="R24" s="73"/>
      <c r="S24" s="73" t="s">
        <v>3259</v>
      </c>
      <c r="T24" s="73"/>
      <c r="U24" s="226"/>
      <c r="V24" s="73"/>
      <c r="W24" s="223"/>
      <c r="X24" s="73"/>
      <c r="Y24" s="73"/>
      <c r="Z24" s="73"/>
      <c r="AA24" s="73"/>
      <c r="AB24" s="73"/>
      <c r="AC24" s="73"/>
      <c r="AD24" s="73"/>
      <c r="AE24" s="73"/>
      <c r="AF24" s="73"/>
      <c r="AG24" s="73"/>
      <c r="AH24" s="223"/>
      <c r="AI24" s="73"/>
      <c r="AJ24" s="223"/>
      <c r="AK24" s="73"/>
      <c r="AL24" s="73"/>
      <c r="AM24" s="73"/>
      <c r="AN24" s="73"/>
      <c r="AO24" s="73"/>
      <c r="AP24" s="73"/>
      <c r="AQ24" s="73"/>
      <c r="AR24" s="73"/>
      <c r="AS24" s="73"/>
      <c r="AT24" s="73"/>
      <c r="AU24" s="223"/>
      <c r="AV24" s="223"/>
      <c r="AW24" s="73"/>
      <c r="AX24" s="223"/>
      <c r="AY24" s="223"/>
      <c r="AZ24" s="73"/>
      <c r="BA24" s="73"/>
      <c r="BB24" s="73"/>
      <c r="BC24" s="73"/>
      <c r="BD24" s="73"/>
      <c r="BE24" s="73"/>
      <c r="BF24" s="73"/>
      <c r="BG24" s="73"/>
      <c r="BH24" s="73"/>
      <c r="BI24" s="73"/>
      <c r="BJ24" s="223"/>
      <c r="BK24" s="73"/>
      <c r="BL24" s="73"/>
      <c r="BM24" s="223"/>
      <c r="BN24" s="73"/>
      <c r="BO24" s="223"/>
      <c r="BP24" s="223"/>
      <c r="BQ24" s="223"/>
      <c r="BR24" s="223"/>
      <c r="BS24" s="223"/>
      <c r="BT24" s="223"/>
      <c r="BU24" s="223"/>
      <c r="BV24" s="223"/>
      <c r="BW24" s="223"/>
      <c r="BX24" s="223"/>
      <c r="BY24" s="223"/>
      <c r="BZ24" s="201"/>
      <c r="CA24" s="201"/>
      <c r="CB24" s="201"/>
      <c r="CC24" s="225"/>
      <c r="CD24" s="202"/>
      <c r="CE24" s="202"/>
      <c r="CF24" s="223"/>
      <c r="CG24" s="73"/>
      <c r="CH24" s="223"/>
      <c r="CI24" s="223"/>
      <c r="CJ24" s="223"/>
      <c r="CK24" s="223"/>
      <c r="CL24" s="223"/>
      <c r="CM24" s="223"/>
      <c r="CN24" s="223"/>
      <c r="CO24" s="73"/>
      <c r="CP24" s="223"/>
      <c r="CQ24" s="223"/>
      <c r="CR24" s="223"/>
      <c r="CS24" s="223"/>
      <c r="CT24" s="223"/>
      <c r="CU24" s="223"/>
      <c r="CV24" s="223"/>
      <c r="CW24" s="223"/>
      <c r="CX24" s="223"/>
      <c r="CY24" s="73"/>
      <c r="CZ24" s="73"/>
      <c r="DA24" s="223"/>
      <c r="DB24" s="73"/>
      <c r="DC24" s="223"/>
      <c r="DD24" s="223"/>
      <c r="DE24" s="223"/>
      <c r="DF24" s="223"/>
      <c r="DG24" s="223"/>
      <c r="DH24" s="223"/>
    </row>
    <row r="25" spans="1:112" ht="15" customHeight="1">
      <c r="A25" s="53" t="s">
        <v>2953</v>
      </c>
      <c r="B25" s="54"/>
      <c r="C25" s="54" t="s">
        <v>3146</v>
      </c>
      <c r="D25" s="54"/>
      <c r="E25" s="54"/>
      <c r="F25" s="54"/>
      <c r="G25" s="54" t="s">
        <v>3147</v>
      </c>
      <c r="H25" s="54"/>
      <c r="I25" s="54"/>
      <c r="J25" s="54"/>
      <c r="K25" s="54" t="s">
        <v>3148</v>
      </c>
      <c r="L25" s="54"/>
      <c r="M25" s="54"/>
      <c r="N25" s="54"/>
      <c r="O25" s="54" t="s">
        <v>3149</v>
      </c>
      <c r="P25" s="54"/>
      <c r="Q25" s="54"/>
      <c r="R25" s="54"/>
      <c r="S25" s="54"/>
      <c r="T25" s="54"/>
      <c r="U25" s="107"/>
    </row>
    <row r="26" spans="1:112" ht="15" customHeight="1">
      <c r="A26" s="53" t="s">
        <v>2899</v>
      </c>
      <c r="B26" s="54"/>
      <c r="C26" s="54" t="s">
        <v>3150</v>
      </c>
      <c r="D26" s="54"/>
      <c r="E26" s="54"/>
      <c r="F26" s="54"/>
      <c r="G26" s="54" t="s">
        <v>3151</v>
      </c>
      <c r="H26" s="54"/>
      <c r="I26" s="54"/>
      <c r="J26" s="54"/>
      <c r="K26" s="54" t="s">
        <v>3152</v>
      </c>
      <c r="L26" s="54"/>
      <c r="M26" s="54"/>
      <c r="N26" s="54"/>
      <c r="O26" s="54" t="s">
        <v>3153</v>
      </c>
      <c r="P26" s="54"/>
      <c r="Q26" s="54"/>
      <c r="R26" s="54"/>
      <c r="S26" s="54"/>
      <c r="T26" s="54"/>
      <c r="U26" s="107"/>
    </row>
    <row r="27" spans="1:112" ht="15" customHeight="1">
      <c r="A27" s="53" t="s">
        <v>2900</v>
      </c>
      <c r="B27" s="54"/>
      <c r="C27" s="54" t="s">
        <v>3154</v>
      </c>
      <c r="D27" s="54"/>
      <c r="E27" s="54"/>
      <c r="F27" s="54"/>
      <c r="G27" s="54" t="s">
        <v>3155</v>
      </c>
      <c r="H27" s="54"/>
      <c r="I27" s="54"/>
      <c r="J27" s="54"/>
      <c r="K27" s="54" t="s">
        <v>3156</v>
      </c>
      <c r="L27" s="54"/>
      <c r="M27" s="54"/>
      <c r="N27" s="54"/>
      <c r="O27" s="54" t="s">
        <v>3157</v>
      </c>
      <c r="P27" s="54"/>
      <c r="Q27" s="54"/>
      <c r="R27" s="54"/>
      <c r="S27" s="54"/>
      <c r="T27" s="54"/>
      <c r="U27" s="107"/>
    </row>
    <row r="28" spans="1:112" ht="15" customHeight="1">
      <c r="A28" s="53" t="s">
        <v>2901</v>
      </c>
      <c r="B28" s="54"/>
      <c r="C28" s="54" t="s">
        <v>3158</v>
      </c>
      <c r="D28" s="54"/>
      <c r="E28" s="54"/>
      <c r="F28" s="54"/>
      <c r="G28" s="54" t="s">
        <v>3159</v>
      </c>
      <c r="H28" s="54"/>
      <c r="I28" s="54"/>
      <c r="J28" s="54"/>
      <c r="K28" s="54" t="s">
        <v>3160</v>
      </c>
      <c r="L28" s="54"/>
      <c r="M28" s="54"/>
      <c r="N28" s="54"/>
      <c r="O28" s="54" t="s">
        <v>3161</v>
      </c>
      <c r="P28" s="54"/>
      <c r="Q28" s="54"/>
      <c r="R28" s="54"/>
      <c r="S28" s="54"/>
      <c r="T28" s="54"/>
      <c r="U28" s="107"/>
    </row>
    <row r="29" spans="1:112">
      <c r="A29" s="53" t="s">
        <v>2952</v>
      </c>
      <c r="B29" s="54"/>
      <c r="C29" s="54" t="s">
        <v>3162</v>
      </c>
      <c r="D29" s="54"/>
      <c r="E29" s="54"/>
      <c r="F29" s="54"/>
      <c r="G29" s="54" t="s">
        <v>3163</v>
      </c>
      <c r="H29" s="54"/>
      <c r="I29" s="54"/>
      <c r="J29" s="54"/>
      <c r="K29" s="54" t="s">
        <v>3164</v>
      </c>
      <c r="L29" s="54"/>
      <c r="M29" s="54"/>
      <c r="N29" s="54"/>
      <c r="O29" s="54" t="s">
        <v>3165</v>
      </c>
      <c r="P29" s="54"/>
      <c r="Q29" s="54"/>
      <c r="R29" s="54"/>
      <c r="S29" s="54"/>
      <c r="T29" s="54"/>
      <c r="U29" s="107"/>
    </row>
    <row r="30" spans="1:112">
      <c r="A30" s="53" t="s">
        <v>2902</v>
      </c>
      <c r="B30" s="54"/>
      <c r="C30" s="54" t="s">
        <v>3166</v>
      </c>
      <c r="D30" s="54"/>
      <c r="E30" s="54"/>
      <c r="F30" s="54"/>
      <c r="G30" s="54" t="s">
        <v>3167</v>
      </c>
      <c r="H30" s="54"/>
      <c r="I30" s="54"/>
      <c r="J30" s="54"/>
      <c r="K30" s="54" t="s">
        <v>3168</v>
      </c>
      <c r="L30" s="54"/>
      <c r="M30" s="54"/>
      <c r="N30" s="54"/>
      <c r="O30" s="54" t="s">
        <v>3169</v>
      </c>
      <c r="P30" s="54"/>
      <c r="Q30" s="54"/>
      <c r="R30" s="54"/>
      <c r="S30" s="54"/>
      <c r="T30" s="54"/>
      <c r="U30" s="107"/>
    </row>
    <row r="31" spans="1:112">
      <c r="A31" s="53" t="s">
        <v>2903</v>
      </c>
      <c r="B31" s="54"/>
      <c r="C31" s="54" t="s">
        <v>3170</v>
      </c>
      <c r="D31" s="54"/>
      <c r="E31" s="54"/>
      <c r="F31" s="54"/>
      <c r="G31" s="54" t="s">
        <v>3171</v>
      </c>
      <c r="H31" s="54"/>
      <c r="I31" s="54"/>
      <c r="J31" s="54"/>
      <c r="K31" s="54" t="s">
        <v>3172</v>
      </c>
      <c r="L31" s="54"/>
      <c r="M31" s="54"/>
      <c r="N31" s="54"/>
      <c r="O31" s="54" t="s">
        <v>3173</v>
      </c>
      <c r="P31" s="54"/>
      <c r="Q31" s="54"/>
      <c r="R31" s="54"/>
      <c r="S31" s="54"/>
      <c r="T31" s="54"/>
      <c r="U31" s="107"/>
    </row>
    <row r="32" spans="1:112">
      <c r="A32" s="53" t="s">
        <v>2904</v>
      </c>
      <c r="B32" s="54"/>
      <c r="C32" s="54" t="s">
        <v>3174</v>
      </c>
      <c r="D32" s="54"/>
      <c r="E32" s="54"/>
      <c r="F32" s="54"/>
      <c r="G32" s="54" t="s">
        <v>3175</v>
      </c>
      <c r="H32" s="54"/>
      <c r="I32" s="54"/>
      <c r="J32" s="54"/>
      <c r="K32" s="54" t="s">
        <v>3176</v>
      </c>
      <c r="L32" s="54"/>
      <c r="M32" s="54"/>
      <c r="N32" s="54"/>
      <c r="O32" s="54" t="s">
        <v>3177</v>
      </c>
      <c r="P32" s="54"/>
      <c r="Q32" s="54"/>
      <c r="R32" s="54"/>
      <c r="S32" s="54"/>
      <c r="T32" s="54"/>
      <c r="U32" s="107"/>
    </row>
    <row r="33" spans="1:21">
      <c r="A33" s="48" t="s">
        <v>2888</v>
      </c>
      <c r="B33" s="18"/>
      <c r="C33" s="18"/>
      <c r="D33" s="18" t="s">
        <v>3128</v>
      </c>
      <c r="E33" s="18"/>
      <c r="F33" s="18"/>
      <c r="G33" s="18" t="s">
        <v>3070</v>
      </c>
      <c r="H33" s="18"/>
      <c r="I33" s="18"/>
      <c r="J33" s="18"/>
      <c r="K33" s="18"/>
      <c r="L33" s="18" t="s">
        <v>3071</v>
      </c>
      <c r="M33" s="18"/>
      <c r="N33" s="18"/>
      <c r="O33" s="18"/>
      <c r="P33" s="18"/>
      <c r="Q33" s="18"/>
      <c r="R33" s="18" t="s">
        <v>3072</v>
      </c>
      <c r="S33" s="18"/>
      <c r="T33" s="18"/>
      <c r="U33" s="100"/>
    </row>
    <row r="34" spans="1:21">
      <c r="A34" s="48" t="s">
        <v>2889</v>
      </c>
      <c r="B34" s="18"/>
      <c r="C34" s="18"/>
      <c r="D34" s="18" t="s">
        <v>3073</v>
      </c>
      <c r="E34" s="18"/>
      <c r="F34" s="18"/>
      <c r="G34" s="18" t="s">
        <v>3074</v>
      </c>
      <c r="H34" s="18"/>
      <c r="I34" s="18"/>
      <c r="J34" s="18"/>
      <c r="K34" s="18"/>
      <c r="L34" s="18" t="s">
        <v>3075</v>
      </c>
      <c r="M34" s="18"/>
      <c r="N34" s="18"/>
      <c r="O34" s="18"/>
      <c r="P34" s="18"/>
      <c r="Q34" s="18"/>
      <c r="R34" s="18" t="s">
        <v>3076</v>
      </c>
      <c r="S34" s="18"/>
      <c r="T34" s="18"/>
      <c r="U34" s="100"/>
    </row>
    <row r="35" spans="1:21">
      <c r="A35" s="48" t="s">
        <v>2890</v>
      </c>
      <c r="B35" s="18"/>
      <c r="C35" s="18"/>
      <c r="D35" s="18" t="s">
        <v>3079</v>
      </c>
      <c r="E35" s="18"/>
      <c r="F35" s="18"/>
      <c r="G35" s="18" t="s">
        <v>3078</v>
      </c>
      <c r="H35" s="18"/>
      <c r="I35" s="18"/>
      <c r="J35" s="18"/>
      <c r="K35" s="18"/>
      <c r="L35" s="18" t="s">
        <v>3077</v>
      </c>
      <c r="M35" s="18"/>
      <c r="N35" s="18"/>
      <c r="O35" s="18"/>
      <c r="P35" s="18"/>
      <c r="Q35" s="18"/>
      <c r="R35" s="18" t="s">
        <v>3080</v>
      </c>
      <c r="S35" s="18"/>
      <c r="T35" s="18"/>
      <c r="U35" s="100"/>
    </row>
    <row r="36" spans="1:21">
      <c r="A36" s="53" t="s">
        <v>3222</v>
      </c>
      <c r="B36" s="54" t="s">
        <v>3223</v>
      </c>
      <c r="C36" s="54"/>
      <c r="D36" s="54" t="s">
        <v>3224</v>
      </c>
      <c r="E36" s="54"/>
      <c r="F36" s="54"/>
      <c r="G36" s="54"/>
      <c r="H36" s="54" t="s">
        <v>3225</v>
      </c>
      <c r="I36" s="54"/>
      <c r="J36" s="54"/>
      <c r="K36" s="54"/>
      <c r="L36" s="54"/>
      <c r="M36" s="54"/>
      <c r="N36" s="54"/>
      <c r="O36" s="54"/>
      <c r="P36" s="54" t="s">
        <v>3226</v>
      </c>
      <c r="Q36" s="54"/>
      <c r="R36" s="54"/>
      <c r="S36" s="54"/>
      <c r="T36" s="54"/>
      <c r="U36" s="107" t="s">
        <v>3227</v>
      </c>
    </row>
    <row r="37" spans="1:21">
      <c r="A37" s="53" t="s">
        <v>3228</v>
      </c>
      <c r="B37" s="54" t="s">
        <v>3230</v>
      </c>
      <c r="C37" s="54"/>
      <c r="D37" s="54" t="s">
        <v>3224</v>
      </c>
      <c r="E37" s="54"/>
      <c r="F37" s="54"/>
      <c r="G37" s="54"/>
      <c r="H37" s="54" t="s">
        <v>3262</v>
      </c>
      <c r="I37" s="54"/>
      <c r="J37" s="54"/>
      <c r="K37" s="54"/>
      <c r="L37" s="54"/>
      <c r="M37" s="54"/>
      <c r="N37" s="54"/>
      <c r="O37" s="54"/>
      <c r="P37" s="54" t="s">
        <v>3231</v>
      </c>
      <c r="Q37" s="54"/>
      <c r="R37" s="54"/>
      <c r="S37" s="54"/>
      <c r="T37" s="54"/>
      <c r="U37" s="107" t="s">
        <v>3232</v>
      </c>
    </row>
    <row r="38" spans="1:21">
      <c r="A38" s="53" t="s">
        <v>3233</v>
      </c>
      <c r="B38" s="54" t="s">
        <v>3235</v>
      </c>
      <c r="C38" s="54"/>
      <c r="D38" s="54" t="s">
        <v>3224</v>
      </c>
      <c r="E38" s="54"/>
      <c r="F38" s="54"/>
      <c r="G38" s="54"/>
      <c r="H38" s="54" t="s">
        <v>3236</v>
      </c>
      <c r="I38" s="54"/>
      <c r="J38" s="54"/>
      <c r="K38" s="54"/>
      <c r="L38" s="54"/>
      <c r="M38" s="54"/>
      <c r="N38" s="54"/>
      <c r="O38" s="54"/>
      <c r="P38" s="54" t="s">
        <v>3237</v>
      </c>
      <c r="Q38" s="54"/>
      <c r="R38" s="54"/>
      <c r="S38" s="54"/>
      <c r="T38" s="54"/>
      <c r="U38" s="107" t="s">
        <v>3238</v>
      </c>
    </row>
    <row r="39" spans="1:21" s="61" customFormat="1">
      <c r="A39" s="75" t="s">
        <v>6112</v>
      </c>
      <c r="B39" s="55"/>
      <c r="C39" s="55"/>
      <c r="D39" s="55"/>
      <c r="E39" s="55"/>
      <c r="F39" s="55"/>
      <c r="G39" s="55"/>
      <c r="H39" s="55"/>
      <c r="I39" s="55"/>
      <c r="J39" s="55"/>
      <c r="K39" s="55"/>
      <c r="L39" s="55"/>
      <c r="M39" s="55"/>
      <c r="N39" s="55"/>
      <c r="O39" s="55"/>
      <c r="P39" s="55"/>
      <c r="Q39" s="55"/>
      <c r="R39" s="55"/>
      <c r="S39" s="55"/>
      <c r="T39" s="55"/>
      <c r="U39" s="347"/>
    </row>
    <row r="40" spans="1:21" s="61" customFormat="1">
      <c r="A40" s="75" t="s">
        <v>6115</v>
      </c>
      <c r="B40" s="55"/>
      <c r="C40" s="55"/>
      <c r="D40" s="55"/>
      <c r="E40" s="55"/>
      <c r="F40" s="55"/>
      <c r="G40" s="55"/>
      <c r="H40" s="55"/>
      <c r="I40" s="55"/>
      <c r="J40" s="55"/>
      <c r="K40" s="55"/>
      <c r="L40" s="55"/>
      <c r="M40" s="55"/>
      <c r="N40" s="55"/>
      <c r="O40" s="55"/>
      <c r="P40" s="55"/>
      <c r="Q40" s="55"/>
      <c r="R40" s="55"/>
      <c r="S40" s="55"/>
      <c r="T40" s="55"/>
      <c r="U40" s="347"/>
    </row>
    <row r="41" spans="1:21" s="61" customFormat="1">
      <c r="A41" s="75" t="s">
        <v>6117</v>
      </c>
      <c r="B41" s="55"/>
      <c r="C41" s="55"/>
      <c r="D41" s="55"/>
      <c r="E41" s="55"/>
      <c r="F41" s="55"/>
      <c r="G41" s="55"/>
      <c r="H41" s="55"/>
      <c r="I41" s="55"/>
      <c r="J41" s="55"/>
      <c r="K41" s="55"/>
      <c r="L41" s="55"/>
      <c r="M41" s="55"/>
      <c r="N41" s="55"/>
      <c r="O41" s="55"/>
      <c r="P41" s="55"/>
      <c r="Q41" s="55"/>
      <c r="R41" s="55"/>
      <c r="S41" s="55"/>
      <c r="T41" s="55"/>
      <c r="U41" s="347"/>
    </row>
    <row r="42" spans="1:21" s="61" customFormat="1">
      <c r="A42" s="75" t="s">
        <v>6119</v>
      </c>
      <c r="B42" s="55"/>
      <c r="C42" s="55"/>
      <c r="D42" s="55"/>
      <c r="E42" s="55"/>
      <c r="F42" s="55"/>
      <c r="G42" s="55"/>
      <c r="H42" s="55"/>
      <c r="I42" s="55"/>
      <c r="J42" s="55"/>
      <c r="K42" s="55"/>
      <c r="L42" s="55"/>
      <c r="M42" s="55"/>
      <c r="N42" s="55"/>
      <c r="O42" s="55"/>
      <c r="P42" s="55"/>
      <c r="Q42" s="55"/>
      <c r="R42" s="55"/>
      <c r="S42" s="55"/>
      <c r="T42" s="55"/>
      <c r="U42" s="347"/>
    </row>
    <row r="43" spans="1:21" s="61" customFormat="1">
      <c r="A43" s="75" t="s">
        <v>6121</v>
      </c>
      <c r="B43" s="55"/>
      <c r="C43" s="55"/>
      <c r="D43" s="55"/>
      <c r="E43" s="55"/>
      <c r="F43" s="55"/>
      <c r="G43" s="55"/>
      <c r="H43" s="55"/>
      <c r="I43" s="55"/>
      <c r="J43" s="55"/>
      <c r="K43" s="55"/>
      <c r="L43" s="55"/>
      <c r="M43" s="55"/>
      <c r="N43" s="55"/>
      <c r="O43" s="55"/>
      <c r="P43" s="55"/>
      <c r="Q43" s="55"/>
      <c r="R43" s="55"/>
      <c r="S43" s="55"/>
      <c r="T43" s="55"/>
      <c r="U43" s="347"/>
    </row>
    <row r="44" spans="1:21" s="61" customFormat="1">
      <c r="A44" s="75" t="s">
        <v>6123</v>
      </c>
      <c r="B44" s="55"/>
      <c r="C44" s="55"/>
      <c r="D44" s="55"/>
      <c r="E44" s="55"/>
      <c r="F44" s="55"/>
      <c r="G44" s="55"/>
      <c r="H44" s="55"/>
      <c r="I44" s="55"/>
      <c r="J44" s="55"/>
      <c r="K44" s="55"/>
      <c r="L44" s="55"/>
      <c r="M44" s="55"/>
      <c r="N44" s="55"/>
      <c r="O44" s="55"/>
      <c r="P44" s="55"/>
      <c r="Q44" s="55"/>
      <c r="R44" s="55"/>
      <c r="S44" s="55"/>
      <c r="T44" s="55"/>
      <c r="U44" s="347"/>
    </row>
    <row r="45" spans="1:21" s="61" customFormat="1">
      <c r="A45" s="53" t="s">
        <v>3206</v>
      </c>
      <c r="B45" s="54"/>
      <c r="C45" s="54"/>
      <c r="D45" s="54" t="s">
        <v>3208</v>
      </c>
      <c r="E45" s="54"/>
      <c r="F45" s="54"/>
      <c r="G45" s="54"/>
      <c r="H45" s="54" t="s">
        <v>3209</v>
      </c>
      <c r="I45" s="54"/>
      <c r="J45" s="54"/>
      <c r="K45" s="54"/>
      <c r="L45" s="54" t="s">
        <v>3210</v>
      </c>
      <c r="M45" s="54"/>
      <c r="N45" s="54"/>
      <c r="O45" s="54"/>
      <c r="P45" s="54" t="s">
        <v>3211</v>
      </c>
      <c r="Q45" s="54"/>
      <c r="R45" s="54"/>
      <c r="S45" s="54"/>
      <c r="T45" s="54"/>
      <c r="U45" s="107"/>
    </row>
    <row r="46" spans="1:21" s="61" customFormat="1">
      <c r="A46" s="53" t="s">
        <v>3212</v>
      </c>
      <c r="B46" s="54"/>
      <c r="C46" s="54"/>
      <c r="D46" s="54" t="s">
        <v>3214</v>
      </c>
      <c r="E46" s="54"/>
      <c r="F46" s="54"/>
      <c r="G46" s="54"/>
      <c r="H46" s="54" t="s">
        <v>3215</v>
      </c>
      <c r="I46" s="54"/>
      <c r="J46" s="54"/>
      <c r="K46" s="54"/>
      <c r="L46" s="54" t="s">
        <v>3216</v>
      </c>
      <c r="M46" s="54"/>
      <c r="N46" s="54"/>
      <c r="O46" s="54"/>
      <c r="P46" s="54" t="s">
        <v>3217</v>
      </c>
      <c r="Q46" s="54"/>
      <c r="R46" s="54"/>
      <c r="S46" s="54"/>
      <c r="T46" s="54"/>
      <c r="U46" s="107"/>
    </row>
    <row r="47" spans="1:21" s="61" customFormat="1">
      <c r="A47" s="75" t="s">
        <v>2909</v>
      </c>
      <c r="B47" s="55"/>
      <c r="C47" s="55"/>
      <c r="D47" s="55" t="s">
        <v>3178</v>
      </c>
      <c r="E47" s="55"/>
      <c r="F47" s="55"/>
      <c r="G47" s="55"/>
      <c r="H47" s="55"/>
      <c r="I47" s="55"/>
      <c r="J47" s="55" t="s">
        <v>3179</v>
      </c>
      <c r="K47" s="55"/>
      <c r="L47" s="55"/>
      <c r="M47" s="55"/>
      <c r="N47" s="55" t="s">
        <v>3180</v>
      </c>
      <c r="O47" s="55"/>
      <c r="P47" s="55"/>
      <c r="Q47" s="55"/>
      <c r="R47" s="55" t="s">
        <v>3181</v>
      </c>
      <c r="S47" s="55"/>
      <c r="T47" s="55"/>
      <c r="U47" s="347"/>
    </row>
    <row r="48" spans="1:21" s="61" customFormat="1">
      <c r="A48" s="75" t="s">
        <v>2910</v>
      </c>
      <c r="B48" s="55"/>
      <c r="C48" s="55"/>
      <c r="D48" s="55" t="s">
        <v>3182</v>
      </c>
      <c r="E48" s="55"/>
      <c r="F48" s="55"/>
      <c r="G48" s="55"/>
      <c r="H48" s="55"/>
      <c r="I48" s="55"/>
      <c r="J48" s="55" t="s">
        <v>3183</v>
      </c>
      <c r="K48" s="55"/>
      <c r="L48" s="55"/>
      <c r="M48" s="55"/>
      <c r="N48" s="55" t="s">
        <v>3184</v>
      </c>
      <c r="O48" s="55"/>
      <c r="P48" s="55"/>
      <c r="Q48" s="55"/>
      <c r="R48" s="55" t="s">
        <v>3185</v>
      </c>
      <c r="S48" s="55"/>
      <c r="T48" s="55"/>
      <c r="U48" s="347"/>
    </row>
    <row r="49" spans="1:21" s="61" customFormat="1">
      <c r="A49" s="75" t="s">
        <v>2911</v>
      </c>
      <c r="B49" s="55"/>
      <c r="C49" s="55"/>
      <c r="D49" s="55" t="s">
        <v>3186</v>
      </c>
      <c r="E49" s="55"/>
      <c r="F49" s="55"/>
      <c r="G49" s="55"/>
      <c r="H49" s="55"/>
      <c r="I49" s="55"/>
      <c r="J49" s="55" t="s">
        <v>3187</v>
      </c>
      <c r="K49" s="55"/>
      <c r="L49" s="55"/>
      <c r="M49" s="55"/>
      <c r="N49" s="55" t="s">
        <v>3188</v>
      </c>
      <c r="O49" s="55"/>
      <c r="P49" s="55"/>
      <c r="Q49" s="55"/>
      <c r="R49" s="55" t="s">
        <v>3189</v>
      </c>
      <c r="S49" s="55"/>
      <c r="T49" s="55"/>
      <c r="U49" s="347"/>
    </row>
    <row r="50" spans="1:21" s="61" customFormat="1">
      <c r="A50" s="75" t="s">
        <v>2912</v>
      </c>
      <c r="B50" s="55"/>
      <c r="C50" s="55"/>
      <c r="D50" s="55" t="s">
        <v>3190</v>
      </c>
      <c r="E50" s="55"/>
      <c r="F50" s="55"/>
      <c r="G50" s="55"/>
      <c r="H50" s="55"/>
      <c r="I50" s="55"/>
      <c r="J50" s="55" t="s">
        <v>3191</v>
      </c>
      <c r="K50" s="55"/>
      <c r="L50" s="55"/>
      <c r="M50" s="55"/>
      <c r="N50" s="55" t="s">
        <v>3192</v>
      </c>
      <c r="O50" s="55"/>
      <c r="P50" s="55"/>
      <c r="Q50" s="55"/>
      <c r="R50" s="55" t="s">
        <v>3193</v>
      </c>
      <c r="S50" s="55"/>
      <c r="T50" s="55"/>
      <c r="U50" s="347"/>
    </row>
    <row r="51" spans="1:21" s="61" customFormat="1">
      <c r="A51" s="53" t="s">
        <v>2916</v>
      </c>
      <c r="B51" s="54" t="s">
        <v>3194</v>
      </c>
      <c r="C51" s="54"/>
      <c r="D51" s="54"/>
      <c r="E51" s="54"/>
      <c r="F51" s="54"/>
      <c r="G51" s="54" t="s">
        <v>3195</v>
      </c>
      <c r="H51" s="54"/>
      <c r="I51" s="54"/>
      <c r="J51" s="54"/>
      <c r="K51" s="54" t="s">
        <v>3196</v>
      </c>
      <c r="L51" s="54"/>
      <c r="M51" s="54"/>
      <c r="N51" s="54"/>
      <c r="O51" s="54" t="s">
        <v>3197</v>
      </c>
      <c r="P51" s="54"/>
      <c r="Q51" s="54"/>
      <c r="R51" s="54"/>
      <c r="S51" s="54"/>
      <c r="T51" s="54"/>
      <c r="U51" s="107"/>
    </row>
    <row r="52" spans="1:21" s="61" customFormat="1">
      <c r="A52" s="53" t="s">
        <v>2917</v>
      </c>
      <c r="B52" s="54" t="s">
        <v>3198</v>
      </c>
      <c r="C52" s="54"/>
      <c r="D52" s="54"/>
      <c r="E52" s="54"/>
      <c r="F52" s="54"/>
      <c r="G52" s="54" t="s">
        <v>3199</v>
      </c>
      <c r="H52" s="54"/>
      <c r="I52" s="54"/>
      <c r="J52" s="54"/>
      <c r="K52" s="54" t="s">
        <v>3200</v>
      </c>
      <c r="L52" s="54"/>
      <c r="M52" s="54"/>
      <c r="N52" s="54"/>
      <c r="O52" s="54" t="s">
        <v>3201</v>
      </c>
      <c r="P52" s="54"/>
      <c r="Q52" s="54"/>
      <c r="R52" s="54"/>
      <c r="S52" s="54"/>
      <c r="T52" s="54"/>
      <c r="U52" s="107"/>
    </row>
    <row r="53" spans="1:21" s="61" customFormat="1">
      <c r="A53" s="323" t="s">
        <v>2918</v>
      </c>
      <c r="B53" s="329" t="s">
        <v>3202</v>
      </c>
      <c r="C53" s="329"/>
      <c r="D53" s="329"/>
      <c r="E53" s="329"/>
      <c r="F53" s="329"/>
      <c r="G53" s="329" t="s">
        <v>3203</v>
      </c>
      <c r="H53" s="329"/>
      <c r="I53" s="329"/>
      <c r="J53" s="329"/>
      <c r="K53" s="329" t="s">
        <v>3204</v>
      </c>
      <c r="L53" s="329"/>
      <c r="M53" s="329"/>
      <c r="N53" s="329"/>
      <c r="O53" s="329" t="s">
        <v>3205</v>
      </c>
      <c r="P53" s="329"/>
      <c r="Q53" s="329"/>
      <c r="R53" s="329"/>
      <c r="S53" s="329"/>
      <c r="T53" s="329"/>
      <c r="U53" s="396"/>
    </row>
    <row r="54" spans="1:21">
      <c r="B54" t="str">
        <f>CONCATENATE(
""""&amp;$A3&amp;"-"&amp;B$2&amp;""": {""Capacities"": ["&amp;B3&amp;"]},
",
""""&amp;$A4&amp;"-"&amp;B$2&amp;""": {""Capacities"": ["&amp;B4&amp;"]},
",
""""&amp;$A5&amp;"-"&amp;B$2&amp;""": {""Capacities"": ["&amp;B5&amp;"]},
",
""""&amp;$A6&amp;"-"&amp;B$2&amp;""": {""Capacities"": ["&amp;B6&amp;"]},
",
""""&amp;$A7&amp;"-"&amp;B$2&amp;""": {""Capacities"": ["&amp;B7&amp;"]},
",
""""&amp;$A8&amp;"-"&amp;B$2&amp;""": {""Capacities"": ["&amp;B8&amp;"]},
",
""""&amp;$A9&amp;"-"&amp;B$2&amp;""": {""Capacities"": ["&amp;B9&amp;"]},
",
""""&amp;$A10&amp;"-"&amp;B$2&amp;""": {""Capacities"": ["&amp;B10&amp;"]},
",
""""&amp;$A11&amp;"-"&amp;B$2&amp;""": {""Capacities"": ["&amp;B11&amp;"]},
",
""""&amp;$A12&amp;"-"&amp;B$2&amp;""": {""Capacities"": ["&amp;B12&amp;"]},
",
""""&amp;$A13&amp;"-"&amp;B$2&amp;""": {""Capacities"": ["&amp;B13&amp;"]},
",
""""&amp;$A14&amp;"-"&amp;B$2&amp;""": {""Capacities"": ["&amp;B14&amp;"]},
",
""""&amp;$A15&amp;"-"&amp;B$2&amp;""": {""Capacities"": ["&amp;B15&amp;"]},
",
""""&amp;$A16&amp;"-"&amp;B$2&amp;""": {""Capacities"": ["&amp;B16&amp;"]},
",
""""&amp;$A17&amp;"-"&amp;B$2&amp;""": {""Capacities"": ["&amp;B17&amp;"]},
",
""""&amp;$A18&amp;"-"&amp;B$2&amp;""": {""Capacities"": ["&amp;B18&amp;"]},
",
""""&amp;$A19&amp;"-"&amp;B$2&amp;""": {""Capacities"": ["&amp;B19&amp;"]},
",
""""&amp;$A20&amp;"-"&amp;B$2&amp;""": {""Capacities"": ["&amp;B20&amp;"]},
",
""""&amp;$A21&amp;"-"&amp;B$2&amp;""": {""Capacities"": ["&amp;B21&amp;"]},
",
""""&amp;$A22&amp;"-"&amp;B$2&amp;""": {""Capacities"": ["&amp;B22&amp;"]},
",
""""&amp;$A23&amp;"-"&amp;B$2&amp;""": {""Capacities"": ["&amp;B23&amp;"]},
",
""""&amp;$A24&amp;"-"&amp;B$2&amp;""": {""Capacities"": ["&amp;B24&amp;"]},
",
""""&amp;$A25&amp;"-"&amp;B$2&amp;""": {""Capacities"": ["&amp;B25&amp;"]},
",
""""&amp;$A26&amp;"-"&amp;B$2&amp;""": {""Capacities"": ["&amp;B26&amp;"]},
",
""""&amp;$A27&amp;"-"&amp;B$2&amp;""": {""Capacities"": ["&amp;B27&amp;"]},
",
""""&amp;$A28&amp;"-"&amp;B$2&amp;""": {""Capacities"": ["&amp;B28&amp;"]},
",
""""&amp;$A29&amp;"-"&amp;B$2&amp;""": {""Capacities"": ["&amp;B29&amp;"]},
",
""""&amp;$A30&amp;"-"&amp;B$2&amp;""": {""Capacities"": ["&amp;B30&amp;"]},
",
""""&amp;$A31&amp;"-"&amp;B$2&amp;""": {""Capacities"": ["&amp;B31&amp;"]},
",
""""&amp;$A32&amp;"-"&amp;B$2&amp;""": {""Capacities"": ["&amp;B32&amp;"]},
",
""""&amp;$A33&amp;"-"&amp;B$2&amp;""": {""Capacities"": ["&amp;B33&amp;"]},
",
""""&amp;$A34&amp;"-"&amp;B$2&amp;""": {""Capacities"": ["&amp;B34&amp;"]},
",
""""&amp;$A35&amp;"-"&amp;B$2&amp;""": {""Capacities"": ["&amp;B35&amp;"]},
",
""""&amp;$A36&amp;"-"&amp;B$2&amp;""": {""Capacities"": ["&amp;B36&amp;"]},
",
""""&amp;$A37&amp;"-"&amp;B$2&amp;""": {""Capacities"": ["&amp;B37&amp;"]},
",
""""&amp;$A38&amp;"-"&amp;B$2&amp;""": {""Capacities"": ["&amp;B38&amp;"]},
",
""""&amp;$A39&amp;"-"&amp;B$2&amp;""": {""Capacities"": ["&amp;B39&amp;"]},
",
""""&amp;$A40&amp;"-"&amp;B$2&amp;""": {""Capacities"": ["&amp;B40&amp;"]},
",
""""&amp;$A41&amp;"-"&amp;B$2&amp;""": {""Capacities"": ["&amp;B41&amp;"]},
",
""""&amp;$A42&amp;"-"&amp;B$2&amp;""": {""Capacities"": ["&amp;B42&amp;"]},
",
""""&amp;$A43&amp;"-"&amp;B$2&amp;""": {""Capacities"": ["&amp;B43&amp;"]},
",
""""&amp;$A44&amp;"-"&amp;B$2&amp;""": {""Capacities"": ["&amp;B44&amp;"]},
",
""""&amp;$A45&amp;"-"&amp;B$2&amp;""": {""Capacities"": ["&amp;B45&amp;"]},
",
""""&amp;$A46&amp;"-"&amp;B$2&amp;""": {""Capacities"": ["&amp;B46&amp;"]},
",
""""&amp;$A47&amp;"-"&amp;B$2&amp;""": {""Capacities"": ["&amp;B47&amp;"]},
",
""""&amp;$A48&amp;"-"&amp;B$2&amp;""": {""Capacities"": ["&amp;B48&amp;"]},
",
""""&amp;$A49&amp;"-"&amp;B$2&amp;""": {""Capacities"": ["&amp;B49&amp;"]},
",
""""&amp;$A50&amp;"-"&amp;B$2&amp;""": {""Capacities"": ["&amp;B50&amp;"]},
",
""""&amp;$A51&amp;"-"&amp;B$2&amp;""": {""Capacities"": ["&amp;B51&amp;"]},
",
""""&amp;$A52&amp;"-"&amp;B$2&amp;""": {""Capacities"": ["&amp;B52&amp;"]},
",
""""&amp;$A53&amp;"-"&amp;B$2&amp;""": {""Capacities"": ["&amp;B53&amp;"]}"
)</f>
        <v>"ALCHEMIST-1":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"AVATAR_ORDER-1": {"Capacities": []},
"AWAKENED_ORDER-1": {"Capacities": []},
"IMMORTALS_ORDER-1": {"Capacities": []},
"NOMAD_ORDER-1": {"Capacities": []},
"SHARP_SOUL_ORDER-1": {"Capacities": []},
"WU_JEN_ORDER-1": {"Capacities": []},
"HUNTER-1": {"Capacities": []},
"BEAST_MASTER-1": {"Capacities": []},
"ASSASSIN-1": {"Capacities": []},
"ROBBER-1": {"Capacities": []},
"ARCANE_SWINDLER-1": {"Capacities": []},
"CONSPIRATOR-1": {"Capacities": []},
"ARCHFAIRY-1": {"Capacities": ["Présence féerique"]},
"FIENDISH-1": {"Capacities": ["Bénédiction du ténébreux"]},
"GREAT_OLD-1": {"Capacities": ["Esprit éveillé"]}</v>
      </c>
      <c r="C54" t="str">
        <f t="shared" ref="C54:U54" si="0">CONCATENATE(
""""&amp;$A3&amp;"-"&amp;C$2&amp;""": {""Capacities"": ["&amp;C3&amp;"]},
",
""""&amp;$A4&amp;"-"&amp;C$2&amp;""": {""Capacities"": ["&amp;C4&amp;"]},
",
""""&amp;$A5&amp;"-"&amp;C$2&amp;""": {""Capacities"": ["&amp;C5&amp;"]},
",
""""&amp;$A6&amp;"-"&amp;C$2&amp;""": {""Capacities"": ["&amp;C6&amp;"]},
",
""""&amp;$A7&amp;"-"&amp;C$2&amp;""": {""Capacities"": ["&amp;C7&amp;"]},
",
""""&amp;$A8&amp;"-"&amp;C$2&amp;""": {""Capacities"": ["&amp;C8&amp;"]},
",
""""&amp;$A9&amp;"-"&amp;C$2&amp;""": {""Capacities"": ["&amp;C9&amp;"]},
",
""""&amp;$A10&amp;"-"&amp;C$2&amp;""": {""Capacities"": ["&amp;C10&amp;"]},
",
""""&amp;$A11&amp;"-"&amp;C$2&amp;""": {""Capacities"": ["&amp;C11&amp;"]},
",
""""&amp;$A12&amp;"-"&amp;C$2&amp;""": {""Capacities"": ["&amp;C12&amp;"]},
",
""""&amp;$A13&amp;"-"&amp;C$2&amp;""": {""Capacities"": ["&amp;C13&amp;"]},
",
""""&amp;$A14&amp;"-"&amp;C$2&amp;""": {""Capacities"": ["&amp;C14&amp;"]},
",
""""&amp;$A15&amp;"-"&amp;C$2&amp;""": {""Capacities"": ["&amp;C15&amp;"]},
",
""""&amp;$A16&amp;"-"&amp;C$2&amp;""": {""Capacities"": ["&amp;C16&amp;"]},
",
""""&amp;$A17&amp;"-"&amp;C$2&amp;""": {""Capacities"": ["&amp;C17&amp;"]},
",
""""&amp;$A18&amp;"-"&amp;C$2&amp;""": {""Capacities"": ["&amp;C18&amp;"]},
",
""""&amp;$A19&amp;"-"&amp;C$2&amp;""": {""Capacities"": ["&amp;C19&amp;"]},
",
""""&amp;$A20&amp;"-"&amp;C$2&amp;""": {""Capacities"": ["&amp;C20&amp;"]},
",
""""&amp;$A21&amp;"-"&amp;C$2&amp;""": {""Capacities"": ["&amp;C21&amp;"]},
",
""""&amp;$A22&amp;"-"&amp;C$2&amp;""": {""Capacities"": ["&amp;C22&amp;"]},
",
""""&amp;$A23&amp;"-"&amp;C$2&amp;""": {""Capacities"": ["&amp;C23&amp;"]},
",
""""&amp;$A24&amp;"-"&amp;C$2&amp;""": {""Capacities"": ["&amp;C24&amp;"]},
",
""""&amp;$A25&amp;"-"&amp;C$2&amp;""": {""Capacities"": ["&amp;C25&amp;"]},
",
""""&amp;$A26&amp;"-"&amp;C$2&amp;""": {""Capacities"": ["&amp;C26&amp;"]},
",
""""&amp;$A27&amp;"-"&amp;C$2&amp;""": {""Capacities"": ["&amp;C27&amp;"]},
",
""""&amp;$A28&amp;"-"&amp;C$2&amp;""": {""Capacities"": ["&amp;C28&amp;"]},
",
""""&amp;$A29&amp;"-"&amp;C$2&amp;""": {""Capacities"": ["&amp;C29&amp;"]},
",
""""&amp;$A30&amp;"-"&amp;C$2&amp;""": {""Capacities"": ["&amp;C30&amp;"]},
",
""""&amp;$A31&amp;"-"&amp;C$2&amp;""": {""Capacities"": ["&amp;C31&amp;"]},
",
""""&amp;$A32&amp;"-"&amp;C$2&amp;""": {""Capacities"": ["&amp;C32&amp;"]},
",
""""&amp;$A33&amp;"-"&amp;C$2&amp;""": {""Capacities"": ["&amp;C33&amp;"]},
",
""""&amp;$A34&amp;"-"&amp;C$2&amp;""": {""Capacities"": ["&amp;C34&amp;"]},
",
""""&amp;$A35&amp;"-"&amp;C$2&amp;""": {""Capacities"": ["&amp;C35&amp;"]},
",
""""&amp;$A36&amp;"-"&amp;C$2&amp;""": {""Capacities"": ["&amp;C36&amp;"]},
",
""""&amp;$A37&amp;"-"&amp;C$2&amp;""": {""Capacities"": ["&amp;C37&amp;"]},
",
""""&amp;$A38&amp;"-"&amp;C$2&amp;""": {""Capacities"": ["&amp;C38&amp;"]},
",
""""&amp;$A39&amp;"-"&amp;C$2&amp;""": {""Capacities"": ["&amp;C39&amp;"]},
",
""""&amp;$A40&amp;"-"&amp;C$2&amp;""": {""Capacities"": ["&amp;C40&amp;"]},
",
""""&amp;$A41&amp;"-"&amp;C$2&amp;""": {""Capacities"": ["&amp;C41&amp;"]},
",
""""&amp;$A42&amp;"-"&amp;C$2&amp;""": {""Capacities"": ["&amp;C42&amp;"]},
",
""""&amp;$A43&amp;"-"&amp;C$2&amp;""": {""Capacities"": ["&amp;C43&amp;"]},
",
""""&amp;$A44&amp;"-"&amp;C$2&amp;""": {""Capacities"": ["&amp;C44&amp;"]},
",
""""&amp;$A45&amp;"-"&amp;C$2&amp;""": {""Capacities"": ["&amp;C45&amp;"]},
",
""""&amp;$A46&amp;"-"&amp;C$2&amp;""": {""Capacities"": ["&amp;C46&amp;"]},
",
""""&amp;$A47&amp;"-"&amp;C$2&amp;""": {""Capacities"": ["&amp;C47&amp;"]},
",
""""&amp;$A48&amp;"-"&amp;C$2&amp;""": {""Capacities"": ["&amp;C48&amp;"]},
",
""""&amp;$A49&amp;"-"&amp;C$2&amp;""": {""Capacities"": ["&amp;C49&amp;"]},
",
""""&amp;$A50&amp;"-"&amp;C$2&amp;""": {""Capacities"": ["&amp;C50&amp;"]},
",
""""&amp;$A51&amp;"-"&amp;C$2&amp;""": {""Capacities"": ["&amp;C51&amp;"]},
",
""""&amp;$A52&amp;"-"&amp;C$2&amp;""": {""Capacities"": ["&amp;C52&amp;"]},
",
""""&amp;$A53&amp;"-"&amp;C$2&amp;""": {""Capacities"": ["&amp;C53&amp;"]}"
)</f>
        <v>"ALCHEMIST-2":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"AVATAR_ORDER-2": {"Capacities": []},
"AWAKENED_ORDER-2": {"Capacities": []},
"IMMORTALS_ORDER-2": {"Capacities": []},
"NOMAD_ORDER-2": {"Capacities": []},
"SHARP_SOUL_ORDER-2": {"Capacities": []},
"WU_JEN_ORDER-2": {"Capacities": []},
"HUNTER-2": {"Capacities": []},
"BEAST_MASTER-2": {"Capacities": []},
"ASSASSIN-2": {"Capacities": []},
"ROBBER-2": {"Capacities": []},
"ARCANE_SWINDLER-2": {"Capacities": []},
"CONSPIRATOR-2": {"Capacities": []},
"ARCHFAIRY-2": {"Capacities": []},
"FIENDISH-2": {"Capacities": []},
"GREAT_OLD-2": {"Capacities": []}</v>
      </c>
      <c r="D54" t="str">
        <f t="shared" si="0"/>
        <v>"ALCHEMIST-3":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"AVATAR_ORDER-3": {"Capacities": []},
"AWAKENED_ORDER-3": {"Capacities": []},
"IMMORTALS_ORDER-3": {"Capacities": []},
"NOMAD_ORDER-3": {"Capacities": []},
"SHARP_SOUL_ORDER-3": {"Capacities": []},
"WU_JEN_ORDER-3": {"Capacities": []},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v>
      </c>
      <c r="E54" t="str">
        <f t="shared" si="0"/>
        <v>"ALCHEMIST-4":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"AVATAR_ORDER-4": {"Capacities": []},
"AWAKENED_ORDER-4": {"Capacities": []},
"IMMORTALS_ORDER-4": {"Capacities": []},
"NOMAD_ORDER-4": {"Capacities": []},
"SHARP_SOUL_ORDER-4": {"Capacities": []},
"WU_JEN_ORDER-4": {"Capacities": []},
"HUNTER-4": {"Capacities": []},
"BEAST_MASTER-4": {"Capacities": []},
"ASSASSIN-4": {"Capacities": []},
"ROBBER-4": {"Capacities": []},
"ARCANE_SWINDLER-4": {"Capacities": []},
"CONSPIRATOR-4": {"Capacities": []},
"ARCHFAIRY-4": {"Capacities": []},
"FIENDISH-4": {"Capacities": []},
"GREAT_OLD-4": {"Capacities": []}</v>
      </c>
      <c r="F54" t="str">
        <f t="shared" si="0"/>
        <v>"ALCHEMIST-5":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"AVATAR_ORDER-5": {"Capacities": []},
"AWAKENED_ORDER-5": {"Capacities": []},
"IMMORTALS_ORDER-5": {"Capacities": []},
"NOMAD_ORDER-5": {"Capacities": []},
"SHARP_SOUL_ORDER-5": {"Capacities": []},
"WU_JEN_ORDER-5": {"Capacities": []},
"HUNTER-5": {"Capacities": []},
"BEAST_MASTER-5": {"Capacities": []},
"ASSASSIN-5": {"Capacities": []},
"ROBBER-5": {"Capacities": []},
"ARCANE_SWINDLER-5": {"Capacities": []},
"CONSPIRATOR-5": {"Capacities": []},
"ARCHFAIRY-5": {"Capacities": []},
"FIENDISH-5": {"Capacities": []},
"GREAT_OLD-5": {"Capacities": []}</v>
      </c>
      <c r="G54" t="str">
        <f t="shared" si="0"/>
        <v>"ALCHEMIST-6":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"AVATAR_ORDER-6": {"Capacities": []},
"AWAKENED_ORDER-6": {"Capacities": []},
"IMMORTALS_ORDER-6": {"Capacities": []},
"NOMAD_ORDER-6": {"Capacities": []},
"SHARP_SOUL_ORDER-6": {"Capacities": []},
"WU_JEN_ORDER-6":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v>
      </c>
      <c r="H54" t="str">
        <f t="shared" si="0"/>
        <v>"ALCHEMIST-7":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"AVATAR_ORDER-7": {"Capacities": []},
"AWAKENED_ORDER-7": {"Capacities": []},
"IMMORTALS_ORDER-7": {"Capacities": []},
"NOMAD_ORDER-7": {"Capacities": []},
"SHARP_SOUL_ORDER-7": {"Capacities": []},
"WU_JEN_ORDER-7": {"Capacities": []},
"HUNTER-7": {"Capacities": ["Tactiques défensives"]},
"BEAST_MASTER-7": {"Capacities": ["Entraînement exceptionnel"]},
"ASSASSIN-7": {"Capacities": []},
"ROBBER-7": {"Capacities": []},
"ARCANE_SWINDLER-7": {"Capacities": []},
"CONSPIRATOR-7": {"Capacities": []},
"ARCHFAIRY-7": {"Capacities": []},
"FIENDISH-7": {"Capacities": []},
"GREAT_OLD-7": {"Capacities": []}</v>
      </c>
      <c r="I54" t="str">
        <f t="shared" si="0"/>
        <v>"ALCHEMIST-8":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"AVATAR_ORDER-8": {"Capacities": []},
"AWAKENED_ORDER-8": {"Capacities": []},
"IMMORTALS_ORDER-8": {"Capacities": []},
"NOMAD_ORDER-8": {"Capacities": []},
"SHARP_SOUL_ORDER-8": {"Capacities": []},
"WU_JEN_ORDER-8": {"Capacities": []},
"HUNTER-8": {"Capacities": []},
"BEAST_MASTER-8": {"Capacities": []},
"ASSASSIN-8": {"Capacities": []},
"ROBBER-8": {"Capacities": []},
"ARCANE_SWINDLER-8": {"Capacities": []},
"CONSPIRATOR-8": {"Capacities": []},
"ARCHFAIRY-8": {"Capacities": []},
"FIENDISH-8": {"Capacities": []},
"GREAT_OLD-8": {"Capacities": []}</v>
      </c>
      <c r="J54" t="str">
        <f t="shared" si="0"/>
        <v>"ALCHEMIST-9":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"AVATAR_ORDER-9": {"Capacities": []},
"AWAKENED_ORDER-9": {"Capacities": []},
"IMMORTALS_ORDER-9": {"Capacities": []},
"NOMAD_ORDER-9": {"Capacities": []},
"SHARP_SOUL_ORDER-9": {"Capacities": []},
"WU_JEN_ORDER-9":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v>
      </c>
      <c r="K54" t="str">
        <f t="shared" si="0"/>
        <v>"ALCHEMIST-10":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"AVATAR_ORDER-10": {"Capacities": []},
"AWAKENED_ORDER-10": {"Capacities": []},
"IMMORTALS_ORDER-10": {"Capacities": []},
"NOMAD_ORDER-10": {"Capacities": []},
"SHARP_SOUL_ORDER-10": {"Capacities": []},
"WU_JEN_ORDER-10":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v>
      </c>
      <c r="L54" t="str">
        <f t="shared" si="0"/>
        <v>"ALCHEMIST-11": {"Capacities": []},
"GUNNER-11": {"Capacities": []},
"BLACKSMITH-11": {"Capacities": []},
"BERSERKER-11": {"Capacities": []},
"TOTEM_WARRIOR-11": {"Capacities": []},
"KNOWLEDGE_SCHOOL-11": {"Capacities": []},
"BRAVERY_SCHOOL-11": {"Capacities": []},
"DECEPTION_FIELD-11": {"Capacities": []},
"WAR_FIELD-11": {"Capacities": []},
"LIGHT_FIELD-11": {"Capacities": []},
"NATURE_FIELD-11": {"Capacities": []},
"KNOWLEDGE_FIELD-11": {"Capacities": []},
"STORM_FIELD-11": {"Capacities": []},
"LIFE_FIELD-11": {"Capacities": []},
"FORGE_FIELD-11": {"Capacities": []},
"EARTH_GROUP-11": {"Capacities": []},
"MOON_GROUP-11": {"Capacities": []},
"DRAGON_BORN-11": {"Capacities": []},
"WILD_MAGIC-11": {"Capacities": []},
"CHAMPION-11": {"Capacities": []},
"WAR_MASTER-11": {"Capacities": []},
"OCCULT_KNIGHT-11": {"Capacities": []},
"ABJURATION-11": {"Capacities": []},
"DIVINATION-11": {"Capacities": []},
"ENCHANTMENT-11": {"Capacities": []},
"EVOCATION-11": {"Capacities": []},
"ILLUSION-11": {"Capacities": []},
"INVOCATION-11": {"Capacities": []},
"NECROMANCY-11": {"Capacities": []},
"TRANSMUTATION-11": {"Capacities": []},
"OPENED_HAND_WAY-11": {"Capacities": ["Tranquillité"]},
"SHADOW_WAY-11": {"Capacities": ["Linceul d'ombre"]},
"ELEMENTS_WAY-11": {"Capacities": ["Chevauchée du vent", "Flammes du phénix", "Forme brumeuse"]},
"DEVOTION-11": {"Capacities": []},
"OLD-11": {"Capacities": []},
"REVENGE-11": {"Capacities": []},
"AVATAR_ORDER-11": {"Capacities": []},
"AWAKENED_ORDER-11": {"Capacities": []},
"IMMORTALS_ORDER-11": {"Capacities": []},
"NOMAD_ORDER-11": {"Capacities": []},
"SHARP_SOUL_ORDER-11": {"Capacities": []},
"WU_JEN_ORDER-11": {"Capacities": []},
"HUNTER-11": {"Capacities": ["Attaques multiples"]},
"BEAST_MASTER-11": {"Capacities": ["Fureur bestiale"]},
"ASSASSIN-11": {"Capacities": []},
"ROBBER-11": {"Capacities": []},
"ARCANE_SWINDLER-11": {"Capacities": []},
"CONSPIRATOR-11": {"Capacities": []},
"ARCHFAIRY-11": {"Capacities": []},
"FIENDISH-11": {"Capacities": []},
"GREAT_OLD-11": {"Capacities": []}</v>
      </c>
      <c r="M54" t="str">
        <f t="shared" si="0"/>
        <v>"ALCHEMIST-12": {"Capacities": []},
"GUNNER-12": {"Capacities": []},
"BLACKSMITH-12": {"Capacities": []},
"BERSERKER-12": {"Capacities": []},
"TOTEM_WARRIOR-12": {"Capacities": []},
"KNOWLEDGE_SCHOOL-12": {"Capacities": []},
"BRAVERY_SCHOOL-12": {"Capacities": []},
"DECEPTION_FIELD-12": {"Capacities": []},
"WAR_FIELD-12": {"Capacities": []},
"LIGHT_FIELD-12": {"Capacities": []},
"NATURE_FIELD-12": {"Capacities": []},
"KNOWLEDGE_FIELD-12": {"Capacities": []},
"STORM_FIELD-12": {"Capacities": []},
"LIFE_FIELD-12": {"Capacities": []},
"FORGE_FIELD-12": {"Capacities": []},
"EARTH_GROUP-12": {"Capacities": []},
"MOON_GROUP-12": {"Capacities": []},
"DRAGON_BORN-12": {"Capacities": []},
"WILD_MAGIC-12": {"Capacities": []},
"CHAMPION-12": {"Capacities": []},
"WAR_MASTER-12": {"Capacities": []},
"OCCULT_KNIGHT-12": {"Capacities": []},
"ABJURATION-12": {"Capacities": []},
"DIVINATION-12": {"Capacities": []},
"ENCHANTMENT-12": {"Capacities": []},
"EVOCATION-12": {"Capacities": []},
"ILLUSION-12": {"Capacities": []},
"INVOCATION-12": {"Capacities": []},
"NECROMANCY-12": {"Capacities": []},
"TRANSMUTATION-12": {"Capacities": []},
"OPENED_HAND_WAY-12": {"Capacities": []},
"SHADOW_WAY-12": {"Capacities": []},
"ELEMENTS_WAY-12": {"Capacities": []},
"DEVOTION-12": {"Capacities": []},
"OLD-12": {"Capacities": []},
"REVENGE-12": {"Capacities": []},
"AVATAR_ORDER-12": {"Capacities": []},
"AWAKENED_ORDER-12": {"Capacities": []},
"IMMORTALS_ORDER-12": {"Capacities": []},
"NOMAD_ORDER-12": {"Capacities": []},
"SHARP_SOUL_ORDER-12": {"Capacities": []},
"WU_JEN_ORDER-12": {"Capacities": []},
"HUNTER-12": {"Capacities": []},
"BEAST_MASTER-12": {"Capacities": []},
"ASSASSIN-12": {"Capacities": []},
"ROBBER-12": {"Capacities": []},
"ARCANE_SWINDLER-12": {"Capacities": []},
"CONSPIRATOR-12": {"Capacities": []},
"ARCHFAIRY-12": {"Capacities": []},
"FIENDISH-12": {"Capacities": []},
"GREAT_OLD-12": {"Capacities": []}</v>
      </c>
      <c r="N54" t="str">
        <f t="shared" si="0"/>
        <v>"ALCHEMIST-13": {"Capacities": []},
"GUNNER-13": {"Capacities": []},
"BLACKSMITH-13": {"Capacities": []},
"BERSERKER-13": {"Capacities": []},
"TOTEM_WARRIOR-13": {"Capacities": []},
"KNOWLEDGE_SCHOOL-13": {"Capacities": []},
"BRAVERY_SCHOOL-13": {"Capacities": []},
"DECEPTION_FIELD-13": {"Capacities": []},
"WAR_FIELD-13": {"Capacities": []},
"LIGHT_FIELD-13": {"Capacities": []},
"NATURE_FIELD-13": {"Capacities": []},
"KNOWLEDGE_FIELD-13": {"Capacities": []},
"STORM_FIELD-13": {"Capacities": []},
"LIFE_FIELD-13": {"Capacities": []},
"FORGE_FIELD-13": {"Capacities": []},
"EARTH_GROUP-13": {"Capacities": []},
"MOON_GROUP-13": {"Capacities": []},
"DRAGON_BORN-13": {"Capacities": []},
"WILD_MAGIC-13": {"Capacities": []},
"CHAMPION-13": {"Capacities": []},
"WAR_MASTER-13": {"Capacities": []},
"OCCULT_KNIGHT-13": {"Capacities": []},
"ABJURATION-13": {"Capacities": []},
"DIVINATION-13": {"Capacities": []},
"ENCHANTMENT-13": {"Capacities": []},
"EVOCATION-13": {"Capacities": []},
"ILLUSION-13": {"Capacities": []},
"INVOCATION-13": {"Capacities": []},
"NECROMANCY-13": {"Capacities": []},
"TRANSMUTATION-13": {"Capacities": []},
"OPENED_HAND_WAY-13": {"Capacities": []},
"SHADOW_WAY-13": {"Capacities": []},
"ELEMENTS_WAY-13": {"Capacities": []},
"DEVOTION-13": {"Capacities": []},
"OLD-13": {"Capacities": []},
"REVENGE-13": {"Capacities": []},
"AVATAR_ORDER-13": {"Capacities": []},
"AWAKENED_ORDER-13": {"Capacities": []},
"IMMORTALS_ORDER-13": {"Capacities": []},
"NOMAD_ORDER-13": {"Capacities": []},
"SHARP_SOUL_ORDER-13": {"Capacities": []},
"WU_JEN_ORDER-13": {"Capacities": []},
"HUNTER-13": {"Capacities": []},
"BEAST_MASTER-13": {"Capacities": []},
"ASSASSIN-13": {"Capacities": ["Imposteur"]},
"ROBBER-13": {"Capacities": ["Utilisation des objets magiques"]},
"ARCANE_SWINDLER-13": {"Capacities": ["Escroc polyvalent"]},
"CONSPIRATOR-13": {"Capacities": ["Redirection"]},
"ARCHFAIRY-13": {"Capacities": []},
"FIENDISH-13": {"Capacities": []},
"GREAT_OLD-13": {"Capacities": []}</v>
      </c>
      <c r="O54" t="str">
        <f t="shared" si="0"/>
        <v>"ALCHEMIST-14": {"Capacities": []},
"GUNNER-14": {"Capacities": []},
"BLACKSMITH-14": {"Capacities": []},
"BERSERKER-14": {"Capacities": ["Représailles"]},
"TOTEM_WARRIOR-14": {"Capacities": ["Lien totémique"]},
"KNOWLEDGE_SCHOOL-14": {"Capacities": ["Compétence hors pair"]},
"BRAVERY_SCHOOL-14": {"Capacities": ["Magie de combat"]},
"DECEPTION_FIELD-14": {"Capacities": []},
"WAR_FIELD-14": {"Capacities": []},
"LIGHT_FIELD-14": {"Capacities": []},
"NATURE_FIELD-14": {"Capacities": []},
"KNOWLEDGE_FIELD-14": {"Capacities": []},
"STORM_FIELD-14": {"Capacities": []},
"LIFE_FIELD-14": {"Capacities": []},
"FORGE_FIELD-14": {"Capacities": []},
"EARTH_GROUP-14": {"Capacities": ["Sanctuaire de la nature"]},
"MOON_GROUP-14": {"Capacities": ["Mille formes"]},
"DRAGON_BORN-14": {"Capacities": ["Ailes de dragon"]},
"WILD_MAGIC-14": {"Capacities": ["Chaos contrôlé"]},
"CHAMPION-14": {"Capacities": []},
"WAR_MASTER-14": {"Capacities": []},
"OCCULT_KNIGHT-14": {"Capacities": []},
"ABJURATION-14": {"Capacities": ["Résistance aux sorts"]},
"DIVINATION-14": {"Capacities": ["Présage supérieur"]},
"ENCHANTMENT-14": {"Capacities": ["Altération de la mémoire"]},
"EVOCATION-14": {"Capacities": ["Surcharge magique"]},
"ILLUSION-14": {"Capacities": ["Réalité illusoire"]},
"INVOCATION-14": {"Capacities": ["Invocations durables"]},
"NECROMANCY-14": {"Capacities": ["Contrôle des morts-vivants"]},
"TRANSMUTATION-14": {"Capacities": ["Maître transmutateur"]},
"OPENED_HAND_WAY-14": {"Capacities": []},
"SHADOW_WAY-14": {"Capacities": []},
"ELEMENTS_WAY-14": {"Capacities": []},
"DEVOTION-14": {"Capacities": []},
"OLD-14": {"Capacities": []},
"REVENGE-14": {"Capacities": []},
"AVATAR_ORDER-14": {"Capacities": []},
"AWAKENED_ORDER-14": {"Capacities": []},
"IMMORTALS_ORDER-14": {"Capacities": []},
"NOMAD_ORDER-14": {"Capacities": []},
"SHARP_SOUL_ORDER-14": {"Capacities": []},
"WU_JEN_ORDER-14": {"Capacities": []},
"HUNTER-14": {"Capacities": []},
"BEAST_MASTER-14": {"Capacities": []},
"ASSASSIN-14": {"Capacities": []},
"ROBBER-14": {"Capacities": []},
"ARCANE_SWINDLER-14": {"Capacities": []},
"CONSPIRATOR-14": {"Capacities": []},
"ARCHFAIRY-14": {"Capacities": ["Sombre délire"]},
"FIENDISH-14": {"Capacities": ["Traversée des enfers"]},
"GREAT_OLD-14": {"Capacities": ["Asservissement"]}</v>
      </c>
      <c r="P54" t="str">
        <f t="shared" si="0"/>
        <v>"ALCHEMIST-15": {"Capacities": ["Maître chimiste"]},
"GUNNER-15": {"Capacities": ["Position fortifiée"]},
"BLACKSMITH-15": {"Capacities": ["Défenseur amélioré"]},
"BERSERKER-15": {"Capacities": []},
"TOTEM_WARRIOR-15": {"Capacities": []},
"KNOWLEDGE_SCHOOL-15": {"Capacities": []},
"BRAVERY_SCHOOL-15": {"Capacities": []},
"DECEPTION_FIELD-15": {"Capacities": []},
"WAR_FIELD-15": {"Capacities": []},
"LIGHT_FIELD-15": {"Capacities": []},
"NATURE_FIELD-15": {"Capacities": []},
"KNOWLEDGE_FIELD-15": {"Capacities": []},
"STORM_FIELD-15": {"Capacities": []},
"LIFE_FIELD-15": {"Capacities": []},
"FORGE_FIELD-15": {"Capacities": []},
"EARTH_GROUP-15": {"Capacities": []},
"MOON_GROUP-15": {"Capacities": []},
"DRAGON_BORN-15": {"Capacities": []},
"WILD_MAGIC-15": {"Capacities": []},
"CHAMPION-15": {"Capacities": ["Critique supérieur"]},
"WAR_MASTER-15": {"Capacities": ["Implacable"]},
"OCCULT_KNIGHT-15": {"Capacities": ["Charge arcanique"]},
"ABJURATION-15": {"Capacities": []},
"DIVINATION-15": {"Capacities": []},
"ENCHANTMENT-15": {"Capacities": []},
"EVOCATION-15": {"Capacities": []},
"ILLUSION-15": {"Capacities": []},
"INVOCATION-15": {"Capacities": []},
"NECROMANCY-15": {"Capacities": []},
"TRANSMUTATION-15": {"Capacities": []},
"OPENED_HAND_WAY-15": {"Capacities": []},
"SHADOW_WAY-15": {"Capacities": []},
"ELEMENTS_WAY-15": {"Capacities": []},
"DEVOTION-15": {"Capacities": ["Pureté de l'esprit"]},
"OLD-15": {"Capacities": ["Sentinelle immortelle"]},
"REVENGE-15": {"Capacities": ["Âme vengeresse"]},
"AVATAR_ORDER-15": {"Capacities": []},
"AWAKENED_ORDER-15": {"Capacities": []},
"IMMORTALS_ORDER-15": {"Capacities": []},
"NOMAD_ORDER-15": {"Capacities": []},
"SHARP_SOUL_ORDER-15": {"Capacities": []},
"WU_JEN_ORDER-15": {"Capacities": []},
"HUNTER-15": {"Capacities": ["Défense du chasseur supérieure"]},
"BEAST_MASTER-15": {"Capacities": ["Partage des sorts"]},
"ASSASSIN-15": {"Capacities": []},
"ROBBER-15": {"Capacities": []},
"ARCANE_SWINDLER-15": {"Capacities": []},
"CONSPIRATOR-15": {"Capacities": []},
"ARCHFAIRY-15": {"Capacities": []},
"FIENDISH-15": {"Capacities": []},
"GREAT_OLD-15": {"Capacities": []}</v>
      </c>
      <c r="Q54" t="str">
        <f t="shared" si="0"/>
        <v>"ALCHEMIST-16": {"Capacities": []},
"GUNNER-16": {"Capacities": []},
"BLACKSMITH-16": {"Capacities": []},
"BERSERKER-16": {"Capacities": []},
"TOTEM_WARRIOR-16": {"Capacities": []},
"KNOWLEDGE_SCHOOL-16": {"Capacities": []},
"BRAVERY_SCHOOL-16": {"Capacities": []},
"DECEPTION_FIELD-16": {"Capacities": []},
"WAR_FIELD-16": {"Capacities": []},
"LIGHT_FIELD-16": {"Capacities": []},
"NATURE_FIELD-16": {"Capacities": []},
"KNOWLEDGE_FIELD-16": {"Capacities": []},
"STORM_FIELD-16": {"Capacities": []},
"LIFE_FIELD-16": {"Capacities": []},
"FORGE_FIELD-16": {"Capacities": []},
"EARTH_GROUP-16": {"Capacities": []},
"MOON_GROUP-16": {"Capacities": []},
"DRAGON_BORN-16": {"Capacities": []},
"WILD_MAGIC-16": {"Capacities": []},
"CHAMPION-16": {"Capacities": []},
"WAR_MASTER-16": {"Capacities": []},
"OCCULT_KNIGHT-16": {"Capacities": []},
"ABJURATION-16": {"Capacities": []},
"DIVINATION-16": {"Capacities": []},
"ENCHANTMENT-16": {"Capacities": []},
"EVOCATION-16": {"Capacities": []},
"ILLUSION-16": {"Capacities": []},
"INVOCATION-16": {"Capacities": []},
"NECROMANCY-16": {"Capacities": []},
"TRANSMUTATION-16": {"Capacities": []},
"OPENED_HAND_WAY-16": {"Capacities": []},
"SHADOW_WAY-16": {"Capacities": []},
"ELEMENTS_WAY-16": {"Capacities": []},
"DEVOTION-16": {"Capacities": []},
"OLD-16": {"Capacities": []},
"REVENGE-16": {"Capacities": []},
"AVATAR_ORDER-16": {"Capacities": []},
"AWAKENED_ORDER-16": {"Capacities": []},
"IMMORTALS_ORDER-16": {"Capacities": []},
"NOMAD_ORDER-16": {"Capacities": []},
"SHARP_SOUL_ORDER-16": {"Capacities": []},
"WU_JEN_ORDER-16": {"Capacities": []},
"HUNTER-16": {"Capacities": []},
"BEAST_MASTER-16": {"Capacities": []},
"ASSASSIN-16": {"Capacities": []},
"ROBBER-16": {"Capacities": []},
"ARCANE_SWINDLER-16": {"Capacities": []},
"CONSPIRATOR-16": {"Capacities": []},
"ARCHFAIRY-16": {"Capacities": []},
"FIENDISH-16": {"Capacities": []},
"GREAT_OLD-16": {"Capacities": []}</v>
      </c>
      <c r="R54" t="str">
        <f t="shared" si="0"/>
        <v>"ALCHEMIST-17": {"Capacities": []},
"GUNNER-17": {"Capacities": []},
"BLACKSMITH-17": {"Capacities": []},
"BERSERKER-17": {"Capacities": []},
"TOTEM_WARRIOR-17": {"Capacities": []},
"KNOWLEDGE_SCHOOL-17": {"Capacities": []},
"BRAVERY_SCHOOL-17": {"Capacities": []},
"DECEPTION_FIELD-17": {"Capacities": ["Duplicata amélioré"]},
"WAR_FIELD-17": {"Capacities": ["Avatar de bataille"]},
"LIGHT_FIELD-17": {"Capacities": ["Halo de lumière"]},
"NATURE_FIELD-17": {"Capacities": ["Maître de la nature"]},
"KNOWLEDGE_FIELD-17": {"Capacities": ["Visions du passé"]},
"STORM_FIELD-17": {"Capacities": ["Fils de la tempête"]},
"LIFE_FIELD-17": {"Capacities": ["Guérison suprême"]},
"FORGE_FIELD-17": {"Capacities": ["Saint de la forge et du feu"]},
"EARTH_GROUP-17": {"Capacities": []},
"MOON_GROUP-17": {"Capacities": []},
"DRAGON_BORN-17": {"Capacities": []},
"WILD_MAGIC-17": {"Capacities": []},
"CHAMPION-17": {"Capacities": []},
"WAR_MASTER-17": {"Capacities": []},
"OCCULT_KNIGHT-17": {"Capacities": []},
"ABJURATION-17": {"Capacities": []},
"DIVINATION-17": {"Capacities": []},
"ENCHANTMENT-17": {"Capacities": []},
"EVOCATION-17": {"Capacities": []},
"ILLUSION-17": {"Capacities": []},
"INVOCATION-17": {"Capacities": []},
"NECROMANCY-17": {"Capacities": []},
"TRANSMUTATION-17": {"Capacities": []},
"OPENED_HAND_WAY-17": {"Capacities": ["Paume frémissante"]},
"SHADOW_WAY-17": {"Capacities": ["Opportuniste"]},
"ELEMENTS_WAY-17": {"Capacities": ["Défense de la montagne éternelle", "Rivière de la flamme affamée", "Souffle de l'hiver", "Vague de terre grondante"]},
"DEVOTION-17": {"Capacities": []},
"OLD-17": {"Capacities": []},
"REVENGE-17": {"Capacities": []},
"AVATAR_ORDER-17": {"Capacities": []},
"AWAKENED_ORDER-17": {"Capacities": []},
"IMMORTALS_ORDER-17": {"Capacities": []},
"NOMAD_ORDER-17": {"Capacities": []},
"SHARP_SOUL_ORDER-17": {"Capacities": []},
"WU_JEN_ORDER-17": {"Capacities": []},
"HUNTER-17": {"Capacities": []},
"BEAST_MASTER-17": {"Capacities": []},
"ASSASSIN-17": {"Capacities": ["Frappe mortelle"]},
"ROBBER-17": {"Capacities": ["Réflexes de voleur"]},
"ARCANE_SWINDLER-17": {"Capacities": ["Voleur de sorts"]},
"CONSPIRATOR-17": {"Capacities": ["Âme de trompeur"]},
"ARCHFAIRY-17": {"Capacities": []},
"FIENDISH-17": {"Capacities": []},
"GREAT_OLD-17": {"Capacities": []}</v>
      </c>
      <c r="S54" t="str">
        <f t="shared" si="0"/>
        <v>"ALCHEMIST-18": {"Capacities": []},
"GUNNER-18": {"Capacities": []},
"BLACKSMITH-18": {"Capacities": []},
"BERSERKER-18": {"Capacities": []},
"TOTEM_WARRIOR-18": {"Capacities": []},
"KNOWLEDGE_SCHOOL-18": {"Capacities": []},
"BRAVERY_SCHOOL-18": {"Capacities": []},
"DECEPTION_FIELD-18": {"Capacities": []},
"WAR_FIELD-18": {"Capacities": []},
"LIGHT_FIELD-18": {"Capacities": []},
"NATURE_FIELD-18": {"Capacities": []},
"KNOWLEDGE_FIELD-18": {"Capacities": []},
"STORM_FIELD-18": {"Capacities": []},
"LIFE_FIELD-18": {"Capacities": []},
"FORGE_FIELD-18": {"Capacities": []},
"EARTH_GROUP-18": {"Capacities": []},
"MOON_GROUP-18": {"Capacities": []},
"DRAGON_BORN-18": {"Capacities": ["Présence draconique"]},
"WILD_MAGIC-18": {"Capacities": ["Bombardement de sort"]},
"CHAMPION-18": {"Capacities": ["Survivant"]},
"WAR_MASTER-18": {"Capacities": []},
"OCCULT_KNIGHT-18": {"Capacities": ["Magie de guerre améliorée"]},
"ABJURATION-18": {"Capacities": []},
"DIVINATION-18": {"Capacities": []},
"ENCHANTMENT-18": {"Capacities": []},
"EVOCATION-18": {"Capacities": []},
"ILLUSION-18": {"Capacities": []},
"INVOCATION-18": {"Capacities": []},
"NECROMANCY-18": {"Capacities": []},
"TRANSMUTATION-18": {"Capacities": []},
"OPENED_HAND_WAY-18": {"Capacities": []},
"SHADOW_WAY-18": {"Capacities": []},
"ELEMENTS_WAY-18": {"Capacities": []},
"DEVOTION-18": {"Capacities": []},
"OLD-18": {"Capacities": []},
"REVENGE-18": {"Capacities": []},
"AVATAR_ORDER-18": {"Capacities": []},
"AWAKENED_ORDER-18": {"Capacities": []},
"IMMORTALS_ORDER-18": {"Capacities": []},
"NOMAD_ORDER-18": {"Capacities": []},
"SHARP_SOUL_ORDER-18": {"Capacities": []},
"WU_JEN_ORDER-18": {"Capacities": []},
"HUNTER-18": {"Capacities": []},
"BEAST_MASTER-18": {"Capacities": []},
"ASSASSIN-18": {"Capacities": []},
"ROBBER-18": {"Capacities": []},
"ARCANE_SWINDLER-18": {"Capacities": []},
"CONSPIRATOR-18": {"Capacities": []},
"ARCHFAIRY-18": {"Capacities": []},
"FIENDISH-18": {"Capacities": []},
"GREAT_OLD-18": {"Capacities": []}</v>
      </c>
      <c r="T54" t="str">
        <f t="shared" si="0"/>
        <v>"ALCHEMIST-19": {"Capacities": []},
"GUNNER-19": {"Capacities": []},
"BLACKSMITH-19": {"Capacities": []},
"BERSERKER-19": {"Capacities": []},
"TOTEM_WARRIOR-19": {"Capacities": []},
"KNOWLEDGE_SCHOOL-19": {"Capacities": []},
"BRAVERY_SCHOOL-19": {"Capacities": []},
"DECEPTION_FIELD-19": {"Capacities": []},
"WAR_FIELD-19": {"Capacities": []},
"LIGHT_FIELD-19": {"Capacities": []},
"NATURE_FIELD-19": {"Capacities": []},
"KNOWLEDGE_FIELD-19": {"Capacities": []},
"STORM_FIELD-19": {"Capacities": []},
"LIFE_FIELD-19": {"Capacities": []},
"FORGE_FIELD-19": {"Capacities": []},
"EARTH_GROUP-19": {"Capacities": []},
"MOON_GROUP-19": {"Capacities": []},
"DRAGON_BORN-19": {"Capacities": []},
"WILD_MAGIC-19": {"Capacities": []},
"CHAMPION-19": {"Capacities": []},
"WAR_MASTER-19": {"Capacities": []},
"OCCULT_KNIGHT-19": {"Capacities": []},
"ABJURATION-19": {"Capacities": []},
"DIVINATION-19": {"Capacities": []},
"ENCHANTMENT-19": {"Capacities": []},
"EVOCATION-19": {"Capacities": []},
"ILLUSION-19": {"Capacities": []},
"INVOCATION-19": {"Capacities": []},
"NECROMANCY-19": {"Capacities": []},
"TRANSMUTATION-19": {"Capacities": []},
"OPENED_HAND_WAY-19": {"Capacities": []},
"SHADOW_WAY-19": {"Capacities": []},
"ELEMENTS_WAY-19": {"Capacities": []},
"DEVOTION-19": {"Capacities": []},
"OLD-19": {"Capacities": []},
"REVENGE-19": {"Capacities": []},
"AVATAR_ORDER-19": {"Capacities": []},
"AWAKENED_ORDER-19": {"Capacities": []},
"IMMORTALS_ORDER-19": {"Capacities": []},
"NOMAD_ORDER-19": {"Capacities": []},
"SHARP_SOUL_ORDER-19": {"Capacities": []},
"WU_JEN_ORDER-19": {"Capacities": []},
"HUNTER-19": {"Capacities": []},
"BEAST_MASTER-19": {"Capacities": []},
"ASSASSIN-19": {"Capacities": []},
"ROBBER-19": {"Capacities": []},
"ARCANE_SWINDLER-19": {"Capacities": []},
"CONSPIRATOR-19": {"Capacities": []},
"ARCHFAIRY-19": {"Capacities": []},
"FIENDISH-19": {"Capacities": []},
"GREAT_OLD-19": {"Capacities": []}</v>
      </c>
      <c r="U54" t="str">
        <f t="shared" si="0"/>
        <v>"ALCHEMIST-20": {"Capacities": []},
"GUNNER-20": {"Capacities": []},
"BLACKSMITH-20": {"Capacities": []},
"BERSERKER-20": {"Capacities": []},
"TOTEM_WARRIOR-20": {"Capacities": []},
"KNOWLEDGE_SCHOOL-20": {"Capacities": []},
"BRAVERY_SCHOOL-20": {"Capacities": []},
"DECEPTION_FIELD-20": {"Capacities": []},
"WAR_FIELD-20": {"Capacities": []},
"LIGHT_FIELD-20": {"Capacities": []},
"NATURE_FIELD-20": {"Capacities": []},
"KNOWLEDGE_FIELD-20": {"Capacities": []},
"STORM_FIELD-20": {"Capacities": []},
"LIFE_FIELD-20": {"Capacities": []},
"FORGE_FIELD-20": {"Capacities": []},
"EARTH_GROUP-20": {"Capacities": []},
"MOON_GROUP-20": {"Capacities": []},
"DRAGON_BORN-20": {"Capacities": []},
"WILD_MAGIC-20": {"Capacities": []},
"CHAMPION-20": {"Capacities": []},
"WAR_MASTER-20": {"Capacities": []},
"OCCULT_KNIGHT-20": {"Capacities": []},
"ABJURATION-20": {"Capacities": []},
"DIVINATION-20": {"Capacities": []},
"ENCHANTMENT-20": {"Capacities": []},
"EVOCATION-20": {"Capacities": []},
"ILLUSION-20": {"Capacities": []},
"INVOCATION-20": {"Capacities": []},
"NECROMANCY-20": {"Capacities": []},
"TRANSMUTATION-20": {"Capacities": []},
"OPENED_HAND_WAY-20": {"Capacities": []},
"SHADOW_WAY-20": {"Capacities": []},
"ELEMENTS_WAY-20": {"Capacities": []},
"DEVOTION-20": {"Capacities": ["Halo sacré"]},
"OLD-20": {"Capacities": ["Champion des Anciens"]},
"REVENGE-20": {"Capacities": ["Ange de la vengeance"]},
"AVATAR_ORDER-20": {"Capacities": []},
"AWAKENED_ORDER-20": {"Capacities": []},
"IMMORTALS_ORDER-20": {"Capacities": []},
"NOMAD_ORDER-20": {"Capacities": []},
"SHARP_SOUL_ORDER-20": {"Capacities": []},
"WU_JEN_ORDER-20": {"Capacities": []},
"HUNTER-20": {"Capacities": []},
"BEAST_MASTER-20": {"Capacities": []},
"ASSASSIN-20": {"Capacities": []},
"ROBBER-20": {"Capacities": []},
"ARCANE_SWINDLER-20": {"Capacities": []},
"CONSPIRATOR-20": {"Capacities": []},
"ARCHFAIRY-20": {"Capacities": []},
"FIENDISH-20": {"Capacities": []},
"GREAT_OLD-20": {"Capacities": []}</v>
      </c>
    </row>
    <row r="56" spans="1:21">
      <c r="B56" t="str">
        <f>CONCATENATE(B54,",
",C54,",
",D54,",
",E54,",
",F54)</f>
        <v>"ALCHEMIST-1":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"AVATAR_ORDER-1": {"Capacities": []},
"AWAKENED_ORDER-1": {"Capacities": []},
"IMMORTALS_ORDER-1": {"Capacities": []},
"NOMAD_ORDER-1": {"Capacities": []},
"SHARP_SOUL_ORDER-1": {"Capacities": []},
"WU_JEN_ORDER-1": {"Capacities": []},
"HUNTER-1": {"Capacities": []},
"BEAST_MASTER-1": {"Capacities": []},
"ASSASSIN-1": {"Capacities": []},
"ROBBER-1": {"Capacities": []},
"ARCANE_SWINDLER-1": {"Capacities": []},
"CONSPIRATOR-1": {"Capacities": []},
"ARCHFAIRY-1": {"Capacities": ["Présence féerique"]},
"FIENDISH-1": {"Capacities": ["Bénédiction du ténébreux"]},
"GREAT_OLD-1": {"Capacities": ["Esprit éveillé"]},
"ALCHEMIST-2":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"AVATAR_ORDER-2": {"Capacities": []},
"AWAKENED_ORDER-2": {"Capacities": []},
"IMMORTALS_ORDER-2": {"Capacities": []},
"NOMAD_ORDER-2": {"Capacities": []},
"SHARP_SOUL_ORDER-2": {"Capacities": []},
"WU_JEN_ORDER-2": {"Capacities": []},
"HUNTER-2": {"Capacities": []},
"BEAST_MASTER-2": {"Capacities": []},
"ASSASSIN-2": {"Capacities": []},
"ROBBER-2": {"Capacities": []},
"ARCANE_SWINDLER-2": {"Capacities": []},
"CONSPIRATOR-2": {"Capacities": []},
"ARCHFAIRY-2": {"Capacities": []},
"FIENDISH-2": {"Capacities": []},
"GREAT_OLD-2": {"Capacities": []},
"ALCHEMIST-3":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"AVATAR_ORDER-3": {"Capacities": []},
"AWAKENED_ORDER-3": {"Capacities": []},
"IMMORTALS_ORDER-3": {"Capacities": []},
"NOMAD_ORDER-3": {"Capacities": []},
"SHARP_SOUL_ORDER-3": {"Capacities": []},
"WU_JEN_ORDER-3": {"Capacities": []},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
"ALCHEMIST-4":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"AVATAR_ORDER-4": {"Capacities": []},
"AWAKENED_ORDER-4": {"Capacities": []},
"IMMORTALS_ORDER-4": {"Capacities": []},
"NOMAD_ORDER-4": {"Capacities": []},
"SHARP_SOUL_ORDER-4": {"Capacities": []},
"WU_JEN_ORDER-4": {"Capacities": []},
"HUNTER-4": {"Capacities": []},
"BEAST_MASTER-4": {"Capacities": []},
"ASSASSIN-4": {"Capacities": []},
"ROBBER-4": {"Capacities": []},
"ARCANE_SWINDLER-4": {"Capacities": []},
"CONSPIRATOR-4": {"Capacities": []},
"ARCHFAIRY-4": {"Capacities": []},
"FIENDISH-4": {"Capacities": []},
"GREAT_OLD-4": {"Capacities": []},
"ALCHEMIST-5":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"AVATAR_ORDER-5": {"Capacities": []},
"AWAKENED_ORDER-5": {"Capacities": []},
"IMMORTALS_ORDER-5": {"Capacities": []},
"NOMAD_ORDER-5": {"Capacities": []},
"SHARP_SOUL_ORDER-5": {"Capacities": []},
"WU_JEN_ORDER-5": {"Capacities": []},
"HUNTER-5": {"Capacities": []},
"BEAST_MASTER-5": {"Capacities": []},
"ASSASSIN-5": {"Capacities": []},
"ROBBER-5": {"Capacities": []},
"ARCANE_SWINDLER-5": {"Capacities": []},
"CONSPIRATOR-5": {"Capacities": []},
"ARCHFAIRY-5": {"Capacities": []},
"FIENDISH-5": {"Capacities": []},
"GREAT_OLD-5": {"Capacities": []}</v>
      </c>
    </row>
    <row r="57" spans="1:21">
      <c r="B57" t="str">
        <f>CONCATENATE(",
",G54,",
",H54,",
",I54,",
",J54,",
",K54)</f>
        <v>,
"ALCHEMIST-6":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"AVATAR_ORDER-6": {"Capacities": []},
"AWAKENED_ORDER-6": {"Capacities": []},
"IMMORTALS_ORDER-6": {"Capacities": []},
"NOMAD_ORDER-6": {"Capacities": []},
"SHARP_SOUL_ORDER-6": {"Capacities": []},
"WU_JEN_ORDER-6":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
"ALCHEMIST-7":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"AVATAR_ORDER-7": {"Capacities": []},
"AWAKENED_ORDER-7": {"Capacities": []},
"IMMORTALS_ORDER-7": {"Capacities": []},
"NOMAD_ORDER-7": {"Capacities": []},
"SHARP_SOUL_ORDER-7": {"Capacities": []},
"WU_JEN_ORDER-7": {"Capacities": []},
"HUNTER-7": {"Capacities": ["Tactiques défensives"]},
"BEAST_MASTER-7": {"Capacities": ["Entraînement exceptionnel"]},
"ASSASSIN-7": {"Capacities": []},
"ROBBER-7": {"Capacities": []},
"ARCANE_SWINDLER-7": {"Capacities": []},
"CONSPIRATOR-7": {"Capacities": []},
"ARCHFAIRY-7": {"Capacities": []},
"FIENDISH-7": {"Capacities": []},
"GREAT_OLD-7": {"Capacities": []},
"ALCHEMIST-8":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"AVATAR_ORDER-8": {"Capacities": []},
"AWAKENED_ORDER-8": {"Capacities": []},
"IMMORTALS_ORDER-8": {"Capacities": []},
"NOMAD_ORDER-8": {"Capacities": []},
"SHARP_SOUL_ORDER-8": {"Capacities": []},
"WU_JEN_ORDER-8": {"Capacities": []},
"HUNTER-8": {"Capacities": []},
"BEAST_MASTER-8": {"Capacities": []},
"ASSASSIN-8": {"Capacities": []},
"ROBBER-8": {"Capacities": []},
"ARCANE_SWINDLER-8": {"Capacities": []},
"CONSPIRATOR-8": {"Capacities": []},
"ARCHFAIRY-8": {"Capacities": []},
"FIENDISH-8": {"Capacities": []},
"GREAT_OLD-8": {"Capacities": []},
"ALCHEMIST-9":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"AVATAR_ORDER-9": {"Capacities": []},
"AWAKENED_ORDER-9": {"Capacities": []},
"IMMORTALS_ORDER-9": {"Capacities": []},
"NOMAD_ORDER-9": {"Capacities": []},
"SHARP_SOUL_ORDER-9": {"Capacities": []},
"WU_JEN_ORDER-9":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
"ALCHEMIST-10":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"AVATAR_ORDER-10": {"Capacities": []},
"AWAKENED_ORDER-10": {"Capacities": []},
"IMMORTALS_ORDER-10": {"Capacities": []},
"NOMAD_ORDER-10": {"Capacities": []},
"SHARP_SOUL_ORDER-10": {"Capacities": []},
"WU_JEN_ORDER-10":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v>
      </c>
    </row>
    <row r="58" spans="1:21">
      <c r="B58" t="str">
        <f>CONCATENATE(,",
",L54,",
",M54,",
",N54,",
",O54,",
",P54)</f>
        <v>,
"ALCHEMIST-11": {"Capacities": []},
"GUNNER-11": {"Capacities": []},
"BLACKSMITH-11": {"Capacities": []},
"BERSERKER-11": {"Capacities": []},
"TOTEM_WARRIOR-11": {"Capacities": []},
"KNOWLEDGE_SCHOOL-11": {"Capacities": []},
"BRAVERY_SCHOOL-11": {"Capacities": []},
"DECEPTION_FIELD-11": {"Capacities": []},
"WAR_FIELD-11": {"Capacities": []},
"LIGHT_FIELD-11": {"Capacities": []},
"NATURE_FIELD-11": {"Capacities": []},
"KNOWLEDGE_FIELD-11": {"Capacities": []},
"STORM_FIELD-11": {"Capacities": []},
"LIFE_FIELD-11": {"Capacities": []},
"FORGE_FIELD-11": {"Capacities": []},
"EARTH_GROUP-11": {"Capacities": []},
"MOON_GROUP-11": {"Capacities": []},
"DRAGON_BORN-11": {"Capacities": []},
"WILD_MAGIC-11": {"Capacities": []},
"CHAMPION-11": {"Capacities": []},
"WAR_MASTER-11": {"Capacities": []},
"OCCULT_KNIGHT-11": {"Capacities": []},
"ABJURATION-11": {"Capacities": []},
"DIVINATION-11": {"Capacities": []},
"ENCHANTMENT-11": {"Capacities": []},
"EVOCATION-11": {"Capacities": []},
"ILLUSION-11": {"Capacities": []},
"INVOCATION-11": {"Capacities": []},
"NECROMANCY-11": {"Capacities": []},
"TRANSMUTATION-11": {"Capacities": []},
"OPENED_HAND_WAY-11": {"Capacities": ["Tranquillité"]},
"SHADOW_WAY-11": {"Capacities": ["Linceul d'ombre"]},
"ELEMENTS_WAY-11": {"Capacities": ["Chevauchée du vent", "Flammes du phénix", "Forme brumeuse"]},
"DEVOTION-11": {"Capacities": []},
"OLD-11": {"Capacities": []},
"REVENGE-11": {"Capacities": []},
"AVATAR_ORDER-11": {"Capacities": []},
"AWAKENED_ORDER-11": {"Capacities": []},
"IMMORTALS_ORDER-11": {"Capacities": []},
"NOMAD_ORDER-11": {"Capacities": []},
"SHARP_SOUL_ORDER-11": {"Capacities": []},
"WU_JEN_ORDER-11": {"Capacities": []},
"HUNTER-11": {"Capacities": ["Attaques multiples"]},
"BEAST_MASTER-11": {"Capacities": ["Fureur bestiale"]},
"ASSASSIN-11": {"Capacities": []},
"ROBBER-11": {"Capacities": []},
"ARCANE_SWINDLER-11": {"Capacities": []},
"CONSPIRATOR-11": {"Capacities": []},
"ARCHFAIRY-11": {"Capacities": []},
"FIENDISH-11": {"Capacities": []},
"GREAT_OLD-11": {"Capacities": []},
"ALCHEMIST-12": {"Capacities": []},
"GUNNER-12": {"Capacities": []},
"BLACKSMITH-12": {"Capacities": []},
"BERSERKER-12": {"Capacities": []},
"TOTEM_WARRIOR-12": {"Capacities": []},
"KNOWLEDGE_SCHOOL-12": {"Capacities": []},
"BRAVERY_SCHOOL-12": {"Capacities": []},
"DECEPTION_FIELD-12": {"Capacities": []},
"WAR_FIELD-12": {"Capacities": []},
"LIGHT_FIELD-12": {"Capacities": []},
"NATURE_FIELD-12": {"Capacities": []},
"KNOWLEDGE_FIELD-12": {"Capacities": []},
"STORM_FIELD-12": {"Capacities": []},
"LIFE_FIELD-12": {"Capacities": []},
"FORGE_FIELD-12": {"Capacities": []},
"EARTH_GROUP-12": {"Capacities": []},
"MOON_GROUP-12": {"Capacities": []},
"DRAGON_BORN-12": {"Capacities": []},
"WILD_MAGIC-12": {"Capacities": []},
"CHAMPION-12": {"Capacities": []},
"WAR_MASTER-12": {"Capacities": []},
"OCCULT_KNIGHT-12": {"Capacities": []},
"ABJURATION-12": {"Capacities": []},
"DIVINATION-12": {"Capacities": []},
"ENCHANTMENT-12": {"Capacities": []},
"EVOCATION-12": {"Capacities": []},
"ILLUSION-12": {"Capacities": []},
"INVOCATION-12": {"Capacities": []},
"NECROMANCY-12": {"Capacities": []},
"TRANSMUTATION-12": {"Capacities": []},
"OPENED_HAND_WAY-12": {"Capacities": []},
"SHADOW_WAY-12": {"Capacities": []},
"ELEMENTS_WAY-12": {"Capacities": []},
"DEVOTION-12": {"Capacities": []},
"OLD-12": {"Capacities": []},
"REVENGE-12": {"Capacities": []},
"AVATAR_ORDER-12": {"Capacities": []},
"AWAKENED_ORDER-12": {"Capacities": []},
"IMMORTALS_ORDER-12": {"Capacities": []},
"NOMAD_ORDER-12": {"Capacities": []},
"SHARP_SOUL_ORDER-12": {"Capacities": []},
"WU_JEN_ORDER-12": {"Capacities": []},
"HUNTER-12": {"Capacities": []},
"BEAST_MASTER-12": {"Capacities": []},
"ASSASSIN-12": {"Capacities": []},
"ROBBER-12": {"Capacities": []},
"ARCANE_SWINDLER-12": {"Capacities": []},
"CONSPIRATOR-12": {"Capacities": []},
"ARCHFAIRY-12": {"Capacities": []},
"FIENDISH-12": {"Capacities": []},
"GREAT_OLD-12": {"Capacities": []},
"ALCHEMIST-13": {"Capacities": []},
"GUNNER-13": {"Capacities": []},
"BLACKSMITH-13": {"Capacities": []},
"BERSERKER-13": {"Capacities": []},
"TOTEM_WARRIOR-13": {"Capacities": []},
"KNOWLEDGE_SCHOOL-13": {"Capacities": []},
"BRAVERY_SCHOOL-13": {"Capacities": []},
"DECEPTION_FIELD-13": {"Capacities": []},
"WAR_FIELD-13": {"Capacities": []},
"LIGHT_FIELD-13": {"Capacities": []},
"NATURE_FIELD-13": {"Capacities": []},
"KNOWLEDGE_FIELD-13": {"Capacities": []},
"STORM_FIELD-13": {"Capacities": []},
"LIFE_FIELD-13": {"Capacities": []},
"FORGE_FIELD-13": {"Capacities": []},
"EARTH_GROUP-13": {"Capacities": []},
"MOON_GROUP-13": {"Capacities": []},
"DRAGON_BORN-13": {"Capacities": []},
"WILD_MAGIC-13": {"Capacities": []},
"CHAMPION-13": {"Capacities": []},
"WAR_MASTER-13": {"Capacities": []},
"OCCULT_KNIGHT-13": {"Capacities": []},
"ABJURATION-13": {"Capacities": []},
"DIVINATION-13": {"Capacities": []},
"ENCHANTMENT-13": {"Capacities": []},
"EVOCATION-13": {"Capacities": []},
"ILLUSION-13": {"Capacities": []},
"INVOCATION-13": {"Capacities": []},
"NECROMANCY-13": {"Capacities": []},
"TRANSMUTATION-13": {"Capacities": []},
"OPENED_HAND_WAY-13": {"Capacities": []},
"SHADOW_WAY-13": {"Capacities": []},
"ELEMENTS_WAY-13": {"Capacities": []},
"DEVOTION-13": {"Capacities": []},
"OLD-13": {"Capacities": []},
"REVENGE-13": {"Capacities": []},
"AVATAR_ORDER-13": {"Capacities": []},
"AWAKENED_ORDER-13": {"Capacities": []},
"IMMORTALS_ORDER-13": {"Capacities": []},
"NOMAD_ORDER-13": {"Capacities": []},
"SHARP_SOUL_ORDER-13": {"Capacities": []},
"WU_JEN_ORDER-13": {"Capacities": []},
"HUNTER-13": {"Capacities": []},
"BEAST_MASTER-13": {"Capacities": []},
"ASSASSIN-13": {"Capacities": ["Imposteur"]},
"ROBBER-13": {"Capacities": ["Utilisation des objets magiques"]},
"ARCANE_SWINDLER-13": {"Capacities": ["Escroc polyvalent"]},
"CONSPIRATOR-13": {"Capacities": ["Redirection"]},
"ARCHFAIRY-13": {"Capacities": []},
"FIENDISH-13": {"Capacities": []},
"GREAT_OLD-13": {"Capacities": []},
"ALCHEMIST-14": {"Capacities": []},
"GUNNER-14": {"Capacities": []},
"BLACKSMITH-14": {"Capacities": []},
"BERSERKER-14": {"Capacities": ["Représailles"]},
"TOTEM_WARRIOR-14": {"Capacities": ["Lien totémique"]},
"KNOWLEDGE_SCHOOL-14": {"Capacities": ["Compétence hors pair"]},
"BRAVERY_SCHOOL-14": {"Capacities": ["Magie de combat"]},
"DECEPTION_FIELD-14": {"Capacities": []},
"WAR_FIELD-14": {"Capacities": []},
"LIGHT_FIELD-14": {"Capacities": []},
"NATURE_FIELD-14": {"Capacities": []},
"KNOWLEDGE_FIELD-14": {"Capacities": []},
"STORM_FIELD-14": {"Capacities": []},
"LIFE_FIELD-14": {"Capacities": []},
"FORGE_FIELD-14": {"Capacities": []},
"EARTH_GROUP-14": {"Capacities": ["Sanctuaire de la nature"]},
"MOON_GROUP-14": {"Capacities": ["Mille formes"]},
"DRAGON_BORN-14": {"Capacities": ["Ailes de dragon"]},
"WILD_MAGIC-14": {"Capacities": ["Chaos contrôlé"]},
"CHAMPION-14": {"Capacities": []},
"WAR_MASTER-14": {"Capacities": []},
"OCCULT_KNIGHT-14": {"Capacities": []},
"ABJURATION-14": {"Capacities": ["Résistance aux sorts"]},
"DIVINATION-14": {"Capacities": ["Présage supérieur"]},
"ENCHANTMENT-14": {"Capacities": ["Altération de la mémoire"]},
"EVOCATION-14": {"Capacities": ["Surcharge magique"]},
"ILLUSION-14": {"Capacities": ["Réalité illusoire"]},
"INVOCATION-14": {"Capacities": ["Invocations durables"]},
"NECROMANCY-14": {"Capacities": ["Contrôle des morts-vivants"]},
"TRANSMUTATION-14": {"Capacities": ["Maître transmutateur"]},
"OPENED_HAND_WAY-14": {"Capacities": []},
"SHADOW_WAY-14": {"Capacities": []},
"ELEMENTS_WAY-14": {"Capacities": []},
"DEVOTION-14": {"Capacities": []},
"OLD-14": {"Capacities": []},
"REVENGE-14": {"Capacities": []},
"AVATAR_ORDER-14": {"Capacities": []},
"AWAKENED_ORDER-14": {"Capacities": []},
"IMMORTALS_ORDER-14": {"Capacities": []},
"NOMAD_ORDER-14": {"Capacities": []},
"SHARP_SOUL_ORDER-14": {"Capacities": []},
"WU_JEN_ORDER-14": {"Capacities": []},
"HUNTER-14": {"Capacities": []},
"BEAST_MASTER-14": {"Capacities": []},
"ASSASSIN-14": {"Capacities": []},
"ROBBER-14": {"Capacities": []},
"ARCANE_SWINDLER-14": {"Capacities": []},
"CONSPIRATOR-14": {"Capacities": []},
"ARCHFAIRY-14": {"Capacities": ["Sombre délire"]},
"FIENDISH-14": {"Capacities": ["Traversée des enfers"]},
"GREAT_OLD-14": {"Capacities": ["Asservissement"]},
"ALCHEMIST-15": {"Capacities": ["Maître chimiste"]},
"GUNNER-15": {"Capacities": ["Position fortifiée"]},
"BLACKSMITH-15": {"Capacities": ["Défenseur amélioré"]},
"BERSERKER-15": {"Capacities": []},
"TOTEM_WARRIOR-15": {"Capacities": []},
"KNOWLEDGE_SCHOOL-15": {"Capacities": []},
"BRAVERY_SCHOOL-15": {"Capacities": []},
"DECEPTION_FIELD-15": {"Capacities": []},
"WAR_FIELD-15": {"Capacities": []},
"LIGHT_FIELD-15": {"Capacities": []},
"NATURE_FIELD-15": {"Capacities": []},
"KNOWLEDGE_FIELD-15": {"Capacities": []},
"STORM_FIELD-15": {"Capacities": []},
"LIFE_FIELD-15": {"Capacities": []},
"FORGE_FIELD-15": {"Capacities": []},
"EARTH_GROUP-15": {"Capacities": []},
"MOON_GROUP-15": {"Capacities": []},
"DRAGON_BORN-15": {"Capacities": []},
"WILD_MAGIC-15": {"Capacities": []},
"CHAMPION-15": {"Capacities": ["Critique supérieur"]},
"WAR_MASTER-15": {"Capacities": ["Implacable"]},
"OCCULT_KNIGHT-15": {"Capacities": ["Charge arcanique"]},
"ABJURATION-15": {"Capacities": []},
"DIVINATION-15": {"Capacities": []},
"ENCHANTMENT-15": {"Capacities": []},
"EVOCATION-15": {"Capacities": []},
"ILLUSION-15": {"Capacities": []},
"INVOCATION-15": {"Capacities": []},
"NECROMANCY-15": {"Capacities": []},
"TRANSMUTATION-15": {"Capacities": []},
"OPENED_HAND_WAY-15": {"Capacities": []},
"SHADOW_WAY-15": {"Capacities": []},
"ELEMENTS_WAY-15": {"Capacities": []},
"DEVOTION-15": {"Capacities": ["Pureté de l'esprit"]},
"OLD-15": {"Capacities": ["Sentinelle immortelle"]},
"REVENGE-15": {"Capacities": ["Âme vengeresse"]},
"AVATAR_ORDER-15": {"Capacities": []},
"AWAKENED_ORDER-15": {"Capacities": []},
"IMMORTALS_ORDER-15": {"Capacities": []},
"NOMAD_ORDER-15": {"Capacities": []},
"SHARP_SOUL_ORDER-15": {"Capacities": []},
"WU_JEN_ORDER-15": {"Capacities": []},
"HUNTER-15": {"Capacities": ["Défense du chasseur supérieure"]},
"BEAST_MASTER-15": {"Capacities": ["Partage des sorts"]},
"ASSASSIN-15": {"Capacities": []},
"ROBBER-15": {"Capacities": []},
"ARCANE_SWINDLER-15": {"Capacities": []},
"CONSPIRATOR-15": {"Capacities": []},
"ARCHFAIRY-15": {"Capacities": []},
"FIENDISH-15": {"Capacities": []},
"GREAT_OLD-15": {"Capacities": []}</v>
      </c>
    </row>
    <row r="59" spans="1:21">
      <c r="B59" t="str">
        <f>CONCATENATE(,",
",Q54,",
",R54,",
",S54,",
",T54,",
",U54)</f>
        <v>,
"ALCHEMIST-16": {"Capacities": []},
"GUNNER-16": {"Capacities": []},
"BLACKSMITH-16": {"Capacities": []},
"BERSERKER-16": {"Capacities": []},
"TOTEM_WARRIOR-16": {"Capacities": []},
"KNOWLEDGE_SCHOOL-16": {"Capacities": []},
"BRAVERY_SCHOOL-16": {"Capacities": []},
"DECEPTION_FIELD-16": {"Capacities": []},
"WAR_FIELD-16": {"Capacities": []},
"LIGHT_FIELD-16": {"Capacities": []},
"NATURE_FIELD-16": {"Capacities": []},
"KNOWLEDGE_FIELD-16": {"Capacities": []},
"STORM_FIELD-16": {"Capacities": []},
"LIFE_FIELD-16": {"Capacities": []},
"FORGE_FIELD-16": {"Capacities": []},
"EARTH_GROUP-16": {"Capacities": []},
"MOON_GROUP-16": {"Capacities": []},
"DRAGON_BORN-16": {"Capacities": []},
"WILD_MAGIC-16": {"Capacities": []},
"CHAMPION-16": {"Capacities": []},
"WAR_MASTER-16": {"Capacities": []},
"OCCULT_KNIGHT-16": {"Capacities": []},
"ABJURATION-16": {"Capacities": []},
"DIVINATION-16": {"Capacities": []},
"ENCHANTMENT-16": {"Capacities": []},
"EVOCATION-16": {"Capacities": []},
"ILLUSION-16": {"Capacities": []},
"INVOCATION-16": {"Capacities": []},
"NECROMANCY-16": {"Capacities": []},
"TRANSMUTATION-16": {"Capacities": []},
"OPENED_HAND_WAY-16": {"Capacities": []},
"SHADOW_WAY-16": {"Capacities": []},
"ELEMENTS_WAY-16": {"Capacities": []},
"DEVOTION-16": {"Capacities": []},
"OLD-16": {"Capacities": []},
"REVENGE-16": {"Capacities": []},
"AVATAR_ORDER-16": {"Capacities": []},
"AWAKENED_ORDER-16": {"Capacities": []},
"IMMORTALS_ORDER-16": {"Capacities": []},
"NOMAD_ORDER-16": {"Capacities": []},
"SHARP_SOUL_ORDER-16": {"Capacities": []},
"WU_JEN_ORDER-16": {"Capacities": []},
"HUNTER-16": {"Capacities": []},
"BEAST_MASTER-16": {"Capacities": []},
"ASSASSIN-16": {"Capacities": []},
"ROBBER-16": {"Capacities": []},
"ARCANE_SWINDLER-16": {"Capacities": []},
"CONSPIRATOR-16": {"Capacities": []},
"ARCHFAIRY-16": {"Capacities": []},
"FIENDISH-16": {"Capacities": []},
"GREAT_OLD-16": {"Capacities": []},
"ALCHEMIST-17": {"Capacities": []},
"GUNNER-17": {"Capacities": []},
"BLACKSMITH-17": {"Capacities": []},
"BERSERKER-17": {"Capacities": []},
"TOTEM_WARRIOR-17": {"Capacities": []},
"KNOWLEDGE_SCHOOL-17": {"Capacities": []},
"BRAVERY_SCHOOL-17": {"Capacities": []},
"DECEPTION_FIELD-17": {"Capacities": ["Duplicata amélioré"]},
"WAR_FIELD-17": {"Capacities": ["Avatar de bataille"]},
"LIGHT_FIELD-17": {"Capacities": ["Halo de lumière"]},
"NATURE_FIELD-17": {"Capacities": ["Maître de la nature"]},
"KNOWLEDGE_FIELD-17": {"Capacities": ["Visions du passé"]},
"STORM_FIELD-17": {"Capacities": ["Fils de la tempête"]},
"LIFE_FIELD-17": {"Capacities": ["Guérison suprême"]},
"FORGE_FIELD-17": {"Capacities": ["Saint de la forge et du feu"]},
"EARTH_GROUP-17": {"Capacities": []},
"MOON_GROUP-17": {"Capacities": []},
"DRAGON_BORN-17": {"Capacities": []},
"WILD_MAGIC-17": {"Capacities": []},
"CHAMPION-17": {"Capacities": []},
"WAR_MASTER-17": {"Capacities": []},
"OCCULT_KNIGHT-17": {"Capacities": []},
"ABJURATION-17": {"Capacities": []},
"DIVINATION-17": {"Capacities": []},
"ENCHANTMENT-17": {"Capacities": []},
"EVOCATION-17": {"Capacities": []},
"ILLUSION-17": {"Capacities": []},
"INVOCATION-17": {"Capacities": []},
"NECROMANCY-17": {"Capacities": []},
"TRANSMUTATION-17": {"Capacities": []},
"OPENED_HAND_WAY-17": {"Capacities": ["Paume frémissante"]},
"SHADOW_WAY-17": {"Capacities": ["Opportuniste"]},
"ELEMENTS_WAY-17": {"Capacities": ["Défense de la montagne éternelle", "Rivière de la flamme affamée", "Souffle de l'hiver", "Vague de terre grondante"]},
"DEVOTION-17": {"Capacities": []},
"OLD-17": {"Capacities": []},
"REVENGE-17": {"Capacities": []},
"AVATAR_ORDER-17": {"Capacities": []},
"AWAKENED_ORDER-17": {"Capacities": []},
"IMMORTALS_ORDER-17": {"Capacities": []},
"NOMAD_ORDER-17": {"Capacities": []},
"SHARP_SOUL_ORDER-17": {"Capacities": []},
"WU_JEN_ORDER-17": {"Capacities": []},
"HUNTER-17": {"Capacities": []},
"BEAST_MASTER-17": {"Capacities": []},
"ASSASSIN-17": {"Capacities": ["Frappe mortelle"]},
"ROBBER-17": {"Capacities": ["Réflexes de voleur"]},
"ARCANE_SWINDLER-17": {"Capacities": ["Voleur de sorts"]},
"CONSPIRATOR-17": {"Capacities": ["Âme de trompeur"]},
"ARCHFAIRY-17": {"Capacities": []},
"FIENDISH-17": {"Capacities": []},
"GREAT_OLD-17": {"Capacities": []},
"ALCHEMIST-18": {"Capacities": []},
"GUNNER-18": {"Capacities": []},
"BLACKSMITH-18": {"Capacities": []},
"BERSERKER-18": {"Capacities": []},
"TOTEM_WARRIOR-18": {"Capacities": []},
"KNOWLEDGE_SCHOOL-18": {"Capacities": []},
"BRAVERY_SCHOOL-18": {"Capacities": []},
"DECEPTION_FIELD-18": {"Capacities": []},
"WAR_FIELD-18": {"Capacities": []},
"LIGHT_FIELD-18": {"Capacities": []},
"NATURE_FIELD-18": {"Capacities": []},
"KNOWLEDGE_FIELD-18": {"Capacities": []},
"STORM_FIELD-18": {"Capacities": []},
"LIFE_FIELD-18": {"Capacities": []},
"FORGE_FIELD-18": {"Capacities": []},
"EARTH_GROUP-18": {"Capacities": []},
"MOON_GROUP-18": {"Capacities": []},
"DRAGON_BORN-18": {"Capacities": ["Présence draconique"]},
"WILD_MAGIC-18": {"Capacities": ["Bombardement de sort"]},
"CHAMPION-18": {"Capacities": ["Survivant"]},
"WAR_MASTER-18": {"Capacities": []},
"OCCULT_KNIGHT-18": {"Capacities": ["Magie de guerre améliorée"]},
"ABJURATION-18": {"Capacities": []},
"DIVINATION-18": {"Capacities": []},
"ENCHANTMENT-18": {"Capacities": []},
"EVOCATION-18": {"Capacities": []},
"ILLUSION-18": {"Capacities": []},
"INVOCATION-18": {"Capacities": []},
"NECROMANCY-18": {"Capacities": []},
"TRANSMUTATION-18": {"Capacities": []},
"OPENED_HAND_WAY-18": {"Capacities": []},
"SHADOW_WAY-18": {"Capacities": []},
"ELEMENTS_WAY-18": {"Capacities": []},
"DEVOTION-18": {"Capacities": []},
"OLD-18": {"Capacities": []},
"REVENGE-18": {"Capacities": []},
"AVATAR_ORDER-18": {"Capacities": []},
"AWAKENED_ORDER-18": {"Capacities": []},
"IMMORTALS_ORDER-18": {"Capacities": []},
"NOMAD_ORDER-18": {"Capacities": []},
"SHARP_SOUL_ORDER-18": {"Capacities": []},
"WU_JEN_ORDER-18": {"Capacities": []},
"HUNTER-18": {"Capacities": []},
"BEAST_MASTER-18": {"Capacities": []},
"ASSASSIN-18": {"Capacities": []},
"ROBBER-18": {"Capacities": []},
"ARCANE_SWINDLER-18": {"Capacities": []},
"CONSPIRATOR-18": {"Capacities": []},
"ARCHFAIRY-18": {"Capacities": []},
"FIENDISH-18": {"Capacities": []},
"GREAT_OLD-18": {"Capacities": []},
"ALCHEMIST-19": {"Capacities": []},
"GUNNER-19": {"Capacities": []},
"BLACKSMITH-19": {"Capacities": []},
"BERSERKER-19": {"Capacities": []},
"TOTEM_WARRIOR-19": {"Capacities": []},
"KNOWLEDGE_SCHOOL-19": {"Capacities": []},
"BRAVERY_SCHOOL-19": {"Capacities": []},
"DECEPTION_FIELD-19": {"Capacities": []},
"WAR_FIELD-19": {"Capacities": []},
"LIGHT_FIELD-19": {"Capacities": []},
"NATURE_FIELD-19": {"Capacities": []},
"KNOWLEDGE_FIELD-19": {"Capacities": []},
"STORM_FIELD-19": {"Capacities": []},
"LIFE_FIELD-19": {"Capacities": []},
"FORGE_FIELD-19": {"Capacities": []},
"EARTH_GROUP-19": {"Capacities": []},
"MOON_GROUP-19": {"Capacities": []},
"DRAGON_BORN-19": {"Capacities": []},
"WILD_MAGIC-19": {"Capacities": []},
"CHAMPION-19": {"Capacities": []},
"WAR_MASTER-19": {"Capacities": []},
"OCCULT_KNIGHT-19": {"Capacities": []},
"ABJURATION-19": {"Capacities": []},
"DIVINATION-19": {"Capacities": []},
"ENCHANTMENT-19": {"Capacities": []},
"EVOCATION-19": {"Capacities": []},
"ILLUSION-19": {"Capacities": []},
"INVOCATION-19": {"Capacities": []},
"NECROMANCY-19": {"Capacities": []},
"TRANSMUTATION-19": {"Capacities": []},
"OPENED_HAND_WAY-19": {"Capacities": []},
"SHADOW_WAY-19": {"Capacities": []},
"ELEMENTS_WAY-19": {"Capacities": []},
"DEVOTION-19": {"Capacities": []},
"OLD-19": {"Capacities": []},
"REVENGE-19": {"Capacities": []},
"AVATAR_ORDER-19": {"Capacities": []},
"AWAKENED_ORDER-19": {"Capacities": []},
"IMMORTALS_ORDER-19": {"Capacities": []},
"NOMAD_ORDER-19": {"Capacities": []},
"SHARP_SOUL_ORDER-19": {"Capacities": []},
"WU_JEN_ORDER-19": {"Capacities": []},
"HUNTER-19": {"Capacities": []},
"BEAST_MASTER-19": {"Capacities": []},
"ASSASSIN-19": {"Capacities": []},
"ROBBER-19": {"Capacities": []},
"ARCANE_SWINDLER-19": {"Capacities": []},
"CONSPIRATOR-19": {"Capacities": []},
"ARCHFAIRY-19": {"Capacities": []},
"FIENDISH-19": {"Capacities": []},
"GREAT_OLD-19": {"Capacities": []},
"ALCHEMIST-20": {"Capacities": []},
"GUNNER-20": {"Capacities": []},
"BLACKSMITH-20": {"Capacities": []},
"BERSERKER-20": {"Capacities": []},
"TOTEM_WARRIOR-20": {"Capacities": []},
"KNOWLEDGE_SCHOOL-20": {"Capacities": []},
"BRAVERY_SCHOOL-20": {"Capacities": []},
"DECEPTION_FIELD-20": {"Capacities": []},
"WAR_FIELD-20": {"Capacities": []},
"LIGHT_FIELD-20": {"Capacities": []},
"NATURE_FIELD-20": {"Capacities": []},
"KNOWLEDGE_FIELD-20": {"Capacities": []},
"STORM_FIELD-20": {"Capacities": []},
"LIFE_FIELD-20": {"Capacities": []},
"FORGE_FIELD-20": {"Capacities": []},
"EARTH_GROUP-20": {"Capacities": []},
"MOON_GROUP-20": {"Capacities": []},
"DRAGON_BORN-20": {"Capacities": []},
"WILD_MAGIC-20": {"Capacities": []},
"CHAMPION-20": {"Capacities": []},
"WAR_MASTER-20": {"Capacities": []},
"OCCULT_KNIGHT-20": {"Capacities": []},
"ABJURATION-20": {"Capacities": []},
"DIVINATION-20": {"Capacities": []},
"ENCHANTMENT-20": {"Capacities": []},
"EVOCATION-20": {"Capacities": []},
"ILLUSION-20": {"Capacities": []},
"INVOCATION-20": {"Capacities": []},
"NECROMANCY-20": {"Capacities": []},
"TRANSMUTATION-20": {"Capacities": []},
"OPENED_HAND_WAY-20": {"Capacities": []},
"SHADOW_WAY-20": {"Capacities": []},
"ELEMENTS_WAY-20": {"Capacities": []},
"DEVOTION-20": {"Capacities": ["Halo sacré"]},
"OLD-20": {"Capacities": ["Champion des Anciens"]},
"REVENGE-20": {"Capacities": ["Ange de la vengeance"]},
"AVATAR_ORDER-20": {"Capacities": []},
"AWAKENED_ORDER-20": {"Capacities": []},
"IMMORTALS_ORDER-20": {"Capacities": []},
"NOMAD_ORDER-20": {"Capacities": []},
"SHARP_SOUL_ORDER-20": {"Capacities": []},
"WU_JEN_ORDER-20": {"Capacities": []},
"HUNTER-20": {"Capacities": []},
"BEAST_MASTER-20": {"Capacities": []},
"ASSASSIN-20": {"Capacities": []},
"ROBBER-20": {"Capacities": []},
"ARCANE_SWINDLER-20": {"Capacities": []},
"CONSPIRATOR-20": {"Capacities": []},
"ARCHFAIRY-20": {"Capacities": []},
"FIENDISH-20": {"Capacities": []},
"GREAT_OLD-20": {"Capacities": []}</v>
      </c>
    </row>
  </sheetData>
  <mergeCells count="10">
    <mergeCell ref="DA2:DG2"/>
    <mergeCell ref="AH2:AS2"/>
    <mergeCell ref="AU2:BH2"/>
    <mergeCell ref="BJ2:BK2"/>
    <mergeCell ref="B1:U1"/>
    <mergeCell ref="BM2:BX2"/>
    <mergeCell ref="BZ2:CD2"/>
    <mergeCell ref="CF2:CL2"/>
    <mergeCell ref="CN2:CU2"/>
    <mergeCell ref="CW2:CY2"/>
  </mergeCells>
  <phoneticPr fontId="2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94696-3351-468B-A1EB-DB81CAC8CBB3}">
  <dimension ref="A1:I478"/>
  <sheetViews>
    <sheetView tabSelected="1" zoomScaleNormal="100" workbookViewId="0">
      <pane ySplit="1" topLeftCell="A280" activePane="bottomLeft" state="frozenSplit"/>
      <selection activeCell="D1" sqref="D1"/>
      <selection pane="bottomLeft" activeCell="G290" sqref="G290"/>
    </sheetView>
  </sheetViews>
  <sheetFormatPr baseColWidth="10" defaultRowHeight="15"/>
  <cols>
    <col min="1" max="1" width="31.140625" customWidth="1"/>
    <col min="2" max="2" width="20.28515625" customWidth="1"/>
    <col min="3" max="3" width="31.7109375" customWidth="1"/>
    <col min="4" max="4" width="9" customWidth="1"/>
    <col min="5" max="5" width="7.85546875" customWidth="1"/>
    <col min="6" max="6" width="7.28515625" customWidth="1"/>
    <col min="7" max="7" width="19.28515625" customWidth="1"/>
    <col min="8" max="8" width="146.28515625" style="248" customWidth="1"/>
  </cols>
  <sheetData>
    <row r="1" spans="1:9">
      <c r="A1" s="165" t="s">
        <v>13</v>
      </c>
      <c r="B1" s="165"/>
      <c r="C1" s="165" t="s">
        <v>954</v>
      </c>
      <c r="D1" s="165" t="s">
        <v>3887</v>
      </c>
      <c r="E1" s="165" t="s">
        <v>3884</v>
      </c>
      <c r="F1" s="165" t="s">
        <v>3885</v>
      </c>
      <c r="G1" s="165" t="s">
        <v>3886</v>
      </c>
      <c r="H1" s="249" t="s">
        <v>1075</v>
      </c>
    </row>
    <row r="2" spans="1:9">
      <c r="A2" s="160" t="s">
        <v>5948</v>
      </c>
      <c r="B2" s="161"/>
      <c r="C2" s="161" t="s">
        <v>6015</v>
      </c>
      <c r="D2" s="161"/>
      <c r="E2" s="161"/>
      <c r="F2" s="161"/>
      <c r="G2" s="161" t="s">
        <v>6017</v>
      </c>
      <c r="H2" s="250" t="s">
        <v>6016</v>
      </c>
      <c r="I2" t="str">
        <f>""""&amp;IF(ISBLANK(B2),A2,B2)&amp;"-"&amp;C2&amp;""":  {
 ""Code"" : """&amp;C2&amp;""",
 ""Class"" : """&amp;A2&amp;""",
 ""Specialisation"" : """&amp;B2&amp;""","
 &amp;IF(ISBLANK(D2),"", """Stats"" : "&amp;D2&amp;",")
 &amp;IF(ISBLANK(E2),"", """Auto"" : "&amp;E2&amp;",")
 &amp;IF(ISBLANK(G2),"", """UseNumber"" : "&amp;G2&amp;",")
 &amp;IF(ISBLANK(F2),"", """Special"" : "&amp;F2&amp;",")&amp;"
 ""Description"" : """&amp;SUBSTITUTE(H2,CHAR(10)," ")&amp;"""
  }"</f>
        <v>"ARTIFICER-Bricolage magique":  {
 "Code" : "Bricolage magique",
 "Class" : "ARTIFICER",
 "Specialisation" : "","UseNumber" : "INT",
 "Description" : "Au niveau 1, vous apprenez à imprégner une étincelle de magie dans des objets ordinaires. Pour utiliser cette capacité, vous devez avoir en main des outils de bricoleur ou tout autre outil d'artisan. Vous touchez ensuite par une action un objet non magique de taille TP et lui conférez une propriété magique de votre choix parmi la liste suivante : •	L'objet émet une lumière vive sur un rayon de 1,50 m et une lumière faible sur 1,50 m supplémentaire. •	Lorsqu'une créature le tapote, l'objet émet un message enregistré qui peut être entendu jusqu'à 3 mètres. Vous prononcez le message lorsque vous conférez cette propriété à l'objet, et l'enregistrement ne peut durer plus de 6 secondes. •	L'objet émet continuellement, au choix, une odeur ou un son non verbal (bruit de vent, de vagues, gazouillis, etc). L'effet choisi est perceptible jusqu'à 3 mètres. •	Un effet visuel statique apparaît sur l'une des surfaces de l'objet. Cet effet peut être une image, un texte (jusqu'à 25 mots), des lignes et des formes, ou encore un mélange à votre guise de ces éléments. La propriété choisie dure indéfiniment. Par une action, vous pouvez toucher l'objet et mettre fin à la propriété prématurément. Vous pouvez appliquer la magie de cette capacité à plusieurs objets à la fois, en touchant un objet différent chaque fois que vous utilisez cette capacité, mais un objet donné ne peut porter qu'une seule propriété à la fois. Le nombre maximum d'objets que vous pouvez affecter de manière simultanée avec cette capacité est égal à votre modificateur d'Intelligence (minimum 1 objet). Si vous essayez de dépasser ce maximum, la propriété la plus ancienne prend fin immédiatement et la nouvelle propriété s'applique."
  }</v>
      </c>
    </row>
    <row r="3" spans="1:9">
      <c r="A3" s="18" t="s">
        <v>5948</v>
      </c>
      <c r="B3" s="18"/>
      <c r="C3" s="18" t="s">
        <v>3570</v>
      </c>
      <c r="D3" s="18"/>
      <c r="E3" s="18"/>
      <c r="F3" s="18"/>
      <c r="G3" s="18">
        <v>-1</v>
      </c>
      <c r="H3" s="251" t="s">
        <v>6018</v>
      </c>
      <c r="I3" t="str">
        <f t="shared" ref="I3:I66" si="0">""""&amp;IF(ISBLANK(B3),A3,B3)&amp;"-"&amp;C3&amp;""":  {
 ""Code"" : """&amp;C3&amp;""",
 ""Class"" : """&amp;A3&amp;""",
 ""Specialisation"" : """&amp;B3&amp;""","
 &amp;IF(ISBLANK(D3),"", """Stats"" : "&amp;D3&amp;",")
 &amp;IF(ISBLANK(E3),"", """Auto"" : "&amp;E3&amp;",")
 &amp;IF(ISBLANK(G3),"", """UseNumber"" : "&amp;G3&amp;",")
 &amp;IF(ISBLANK(F3),"", """Special"" : "&amp;F3&amp;",")&amp;"
 ""Description"" : """&amp;SUBSTITUTE(H3,CHAR(10)," ")&amp;"""
  }"</f>
        <v>"ARTIFICER-Incantations":  {
 "Code" : "Incantations",
 "Class" : "ARTIFICER",
 "Specialisation" : "","UseNumber" : -1,
 "Description" : "Vous avez étudié les rouages de la magie, comment la canaliser à travers des objets, et comment l'éveiller à travers eux. En conséquence, vous avez gagné une capacité limitée à lancer des sorts. Pour un observateur, vous ne semblez pas vraiment lancer des sorts dans le sens usuel ; c'est plutôt comme si vous produisiez des miracles au moyen de divers objets."
  }</v>
      </c>
    </row>
    <row r="4" spans="1:9">
      <c r="A4" s="18" t="s">
        <v>5948</v>
      </c>
      <c r="B4" s="18"/>
      <c r="C4" s="18" t="s">
        <v>5825</v>
      </c>
      <c r="D4" s="18" t="s">
        <v>2807</v>
      </c>
      <c r="E4" s="55" t="s">
        <v>2807</v>
      </c>
      <c r="F4" s="18"/>
      <c r="G4" s="18"/>
      <c r="H4" s="251" t="s">
        <v>6019</v>
      </c>
      <c r="I4" t="str">
        <f t="shared" si="0"/>
        <v>"ARTIFICER-Sorts mineurs":  {
 "Code" : "Sorts mineurs",
 "Class" : "ARTIFICER",
 "Specialisation" : "","Stats" : true,"Auto" : true,
 "Description" : "Au niveau 1, vous connaissez deux sorts mineurs de votre choix parmi la liste de sorts d'artificier ci-dessous. Vous apprendrez des sorts mineurs supplémentaires de votre choix aux niveaux supérieurs, comme indiqué dans la colonne Sorts mineurs connus de la table ci-dessus. Lorsque vous gagnez un niveau dans cette classe, vous pouvez remplacer un de vos sorts mineurs d'artificier connu par un autre de la liste de sorts d'artificier."
  }</v>
      </c>
    </row>
    <row r="5" spans="1:9">
      <c r="A5" s="18" t="s">
        <v>5948</v>
      </c>
      <c r="B5" s="18"/>
      <c r="C5" s="55" t="s">
        <v>6020</v>
      </c>
      <c r="D5" s="18" t="s">
        <v>2807</v>
      </c>
      <c r="E5" s="55" t="s">
        <v>2807</v>
      </c>
      <c r="F5" s="18"/>
      <c r="G5" s="18"/>
      <c r="H5" s="251" t="s">
        <v>6021</v>
      </c>
      <c r="I5" t="str">
        <f t="shared" si="0"/>
        <v>"ARTIFICER-Préparer et lancer des sorts":  {
 "Code" : "Préparer et lancer des sorts",
 "Class" : "ARTIFICER",
 "Specialisation" : "","Stats" : true,"Auto" : true,
 "Description" : "La table de l'artificier indique combien d'emplacements de sorts vous avez pour lancer vos sorts d'artificier. Pour lancer un de vos sorts de niveau 1 ou supérieur, vous devez dépenser un emplacement du niveau du sort ou supérieur. Vous regagnez tous les emplacements de sorts dépensés lorsque vous terminez un repos long. Vous devez préparer la liste des sorts d'artificier qui vous sont disponibles pour les lancer, en les choisissant dans la liste de sorts d'artificier. Pour ce faire, choisissez un nombre de sorts d'artificier égal à votre modificateur d'Intelligence + la moitié de votre niveau d'artificier, arrondi à l'inférieur (minimum un sort). Les sorts doivent être d'un niveau pour lequel vous avez des emplacements de sorts. Par exemple, si vous êtes un artificier de niveau 5, vous possédez quatre emplacements de sorts de niveau 1 et deux emplacements de sorts de niveau 2. Avec une Intelligence de 14, votre liste de sorts préparés peut inclure quatre sorts de niveau 1 ou 2, selon n'importe quelle combinaison. Si vous préparez le sort de niveau 1 soins, vous pouvez le lancer en utilisant un emplacement de niveau 1 ou de niveau 2. Lancer le sort ne le supprime pas de votre liste de sorts préparés. Vous pouvez modifier votre liste de sorts préparés lorsque vous terminez un repos long. Préparer une nouvelle liste de sorts d'artificier demande du temps pour bricoler avec vos focaliseurs de sorts : au moins 1 minute par niveau de sort pour chaque sort de votre liste. L'Intelligence est votre caractéristique d'incantation pour vos sorts d'artificier ; votre compréhension théorique de la magie vous permet de manier ces sorts avec une grande habileté. Vous utilisez votre Intelligence chaque fois qu'un sort d'artificier se réfère à votre caractéristique d'incantation. En outre, vous utilisez votre modificateur d'Intelligence pour définir le DD du jet de sauvegarde d'un sort d'artificier que vous lancez ainsi que pour le jet d'attaque de celui-ci. DD de sauvegarde des sorts = 8 + votre bonus de maîtrise + votre modificateur d'Intelligence Modificateur aux attaques avec un sort = votre bonus de maîtrise + votre modificateur d'Intelligence"
  }</v>
      </c>
    </row>
    <row r="6" spans="1:9">
      <c r="A6" s="18" t="s">
        <v>5948</v>
      </c>
      <c r="B6" s="18"/>
      <c r="C6" s="55" t="s">
        <v>1074</v>
      </c>
      <c r="D6" s="18"/>
      <c r="E6" s="18"/>
      <c r="F6" s="18"/>
      <c r="G6" s="18">
        <v>-1</v>
      </c>
      <c r="H6" s="251" t="s">
        <v>6022</v>
      </c>
      <c r="I6" t="str">
        <f t="shared" si="0"/>
        <v>"ARTIFICER-Rituel":  {
 "Code" : "Rituel",
 "Class" : "ARTIFICER",
 "Specialisation" : "","UseNumber" : -1,
 "Description" : "Vous pouvez lancer un sort d'artificier en tant que rituel si ce sort possède l'étiquette rituel et si vous avez préparé ce sort."
  }</v>
      </c>
    </row>
    <row r="7" spans="1:9">
      <c r="A7" s="18" t="s">
        <v>5948</v>
      </c>
      <c r="B7" s="18"/>
      <c r="C7" s="55" t="s">
        <v>6023</v>
      </c>
      <c r="D7" s="18"/>
      <c r="E7" s="18"/>
      <c r="F7" s="18"/>
      <c r="G7" s="18">
        <v>1</v>
      </c>
      <c r="H7" s="251" t="s">
        <v>6041</v>
      </c>
      <c r="I7" t="str">
        <f t="shared" si="0"/>
        <v>"ARTIFICER-Imprégnation d'objet":  {
 "Code" : "Imprégnation d'objet",
 "Class" : "ARTIFICER",
 "Specialisation" : "","UseNumber" : 1,
 "Description" : "Au niveau 2, vous gagnez la capacité d'imprégner des objets ordinaires avec certaines imprégnations magiques. Les objets magiques que vous créez grâce à cette capacité sont considérés comme des prototypes d'objets permanents. Imprégnations connues Lorsque vous gagnez cette capacité, choisissez quatre imprégnations d'artificier que vous apprenez parmi celles proposées à la fin de la description de cette classe. Vous apprenez des imprégnations supplémentaires de votre choix lorsque vous atteignez certains niveaux dans cette classe, comme le montre la colonne Imprégnations connues de la table de l'artificier. Lorsque vous gagnez un niveau dans cette classe, vous pouvez remplacer une imprégnation d'artificier que vous connaissez par une nouvelle. Imprégner un objet Lorsque vous terminez un repos long, vous pouvez toucher un objet non magique et l'imprégner avec l'une de vos imprégnations d'artificier pour en faire un objet magique. Une imprégnation ne fonctionne que sur certains types d'objet, comme indiqué dans la description de l'imprégnation. Si l'objet requiert d'être lié, vous pouvez vous y lier vous-même au moment où vous imprégnez l'objet, ou bien vous pouvez renoncer au lien afin que quelqu'un d'autre puisse se lier à l'objet. Si vous décidez de vous lier à l'objet plus tard, vous devrez alors suivre le processus normal pour se lier (voir Lien dans le Guide du Maître). Votre imprégnation demeure indéfiniment dans un objet, mais si vous mourez l'imprégnation disparaît après un nombre de jours égal à votre modificateur d'Intelligence (minimum 1 jour). L'imprégnation disparaît également si vous abandonnez la connaissance de cette imprégnation pour une autre. Vous pouvez imprégnez plus d'un objet non magique à la fois à la fin d'un repos long ; le nombre maximum d'objets imprégnables est indiqué dans la colonne Objets imprégnés de la table de l'artificier. Vous devez toucher chaque objet, et chacune de vos imprégnations ne peut imprégner qu'un seul objet à la fois. De plus, aucun objet ne peut supporter plus d'une de vos infusions à la fois. Si vous tentez de dépasser votre nombre maximum d'imprégnations, l'imprégnation la plus ancienne prend fin immédiatement et la nouvelle imprégnation s'applique."
  }</v>
      </c>
    </row>
    <row r="8" spans="1:9">
      <c r="A8" s="18" t="s">
        <v>5948</v>
      </c>
      <c r="B8" s="18"/>
      <c r="C8" s="55" t="s">
        <v>6024</v>
      </c>
      <c r="D8" s="18" t="s">
        <v>2807</v>
      </c>
      <c r="E8" s="55" t="s">
        <v>2807</v>
      </c>
      <c r="F8" s="18"/>
      <c r="G8" s="18"/>
      <c r="H8" s="251" t="s">
        <v>6025</v>
      </c>
      <c r="I8" t="str">
        <f t="shared" si="0"/>
        <v>"ARTIFICER-Spécialité d'artificier":  {
 "Code" : "Spécialité d'artificier",
 "Class" : "ARTIFICER",
 "Specialisation" : "","Stats" : true,"Auto" : true,
 "Description" : "Au niveau 3, vous choisissez le type de spécialiste que vous êtes : alchimiste, artilleur ou forgeron de guerre, détaillé à la fin de la description de classe. Votre choix vous accorde des capacités spéciales au niveau 5 puis aux niveaux 9 et 15."
  }</v>
      </c>
    </row>
    <row r="9" spans="1:9">
      <c r="A9" s="18" t="s">
        <v>5948</v>
      </c>
      <c r="B9" s="18"/>
      <c r="C9" s="55" t="s">
        <v>6026</v>
      </c>
      <c r="D9" s="18"/>
      <c r="E9" s="18"/>
      <c r="F9" s="18"/>
      <c r="G9" s="18">
        <v>-1</v>
      </c>
      <c r="H9" s="251" t="s">
        <v>6027</v>
      </c>
      <c r="I9" t="str">
        <f t="shared" si="0"/>
        <v>"ARTIFICER-Outil adéquat":  {
 "Code" : "Outil adéquat",
 "Class" : "ARTIFICER",
 "Specialisation" : "","UseNumber" : -1,
 "Description" : "Au niveau 3, vous apprenez à produire exactement l'outil dont vous avez besoin : avec des outils de bricoleur en mains, vous pouvez créer magiquement des outils d'artisan dans un espace inoccupé à 1,50 mètre ou moins de vous. Cette création demande 1 heure de travail ininterrompu, qui peut coïncider avec un repos court ou long. Bien qu'ils soient le produit de la magie, les outils ne sont pas magiques et disparaissent dès que vous utilisez cette capacité à nouveau."
  }</v>
      </c>
    </row>
    <row r="10" spans="1:9">
      <c r="A10" s="18" t="s">
        <v>5948</v>
      </c>
      <c r="B10" s="18"/>
      <c r="C10" s="55" t="s">
        <v>167</v>
      </c>
      <c r="D10" s="18" t="s">
        <v>2807</v>
      </c>
      <c r="E10" s="18"/>
      <c r="F10" s="18"/>
      <c r="G10" s="18"/>
      <c r="H10" s="251" t="s">
        <v>191</v>
      </c>
      <c r="I10" t="str">
        <f t="shared" si="0"/>
        <v>"ARTIFICER-Amélioration de caractéristiques":  {
 "Code" : "Amélioration de caractéristiques",
 "Class" : "ARTIFICER",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11" spans="1:9">
      <c r="A11" s="18" t="s">
        <v>5948</v>
      </c>
      <c r="B11" s="18"/>
      <c r="C11" s="55" t="s">
        <v>6028</v>
      </c>
      <c r="D11" s="18"/>
      <c r="E11" s="18"/>
      <c r="F11" s="18"/>
      <c r="G11" s="18"/>
      <c r="H11" s="251" t="s">
        <v>6029</v>
      </c>
      <c r="I11" t="str">
        <f t="shared" si="0"/>
        <v>"ARTIFICER-Expertise d'outil":  {
 "Code" : "Expertise d'outil",
 "Class" : "ARTIFICER",
 "Specialisation" : "",
 "Description" : "À partir du niveau 6, votre bonus de maîtrise est doublé pour tout jet de caractéristique que vous réalisez et qui utilise votre maîtrise d'un outil."
  }</v>
      </c>
    </row>
    <row r="12" spans="1:9">
      <c r="A12" s="18" t="s">
        <v>5948</v>
      </c>
      <c r="B12" s="18"/>
      <c r="C12" s="55" t="s">
        <v>6030</v>
      </c>
      <c r="D12" s="18"/>
      <c r="E12" s="18"/>
      <c r="F12" s="18"/>
      <c r="G12" s="18"/>
      <c r="H12" s="251" t="s">
        <v>6031</v>
      </c>
      <c r="I12" t="str">
        <f t="shared" si="0"/>
        <v>"ARTIFICER-Éclair de génie":  {
 "Code" : "Éclair de génie",
 "Class" : "ARTIFICER",
 "Specialisation" : "",
 "Description" : "À partir du niveau 7, vous gagnez la capacité de proposer des solutions tout en étant sous pression. Lorsque vous ou une autre créature que vous voyez à 9 mètres ou moins de vous fait un jet de caractéristique ou de sauvegarde, vous pouvez utiliser votre réaction pour ajouter votre modificateur d'Intelligence au jet. Vous pouvez utiliser cette capacité un nombre de fois égal à votre modificateur Intelligence (minimum une fois). Vous récupérez toutes les utilisations dépensées lorsque vous terminez un repos long."
  }</v>
      </c>
    </row>
    <row r="13" spans="1:9">
      <c r="A13" s="18" t="s">
        <v>5948</v>
      </c>
      <c r="B13" s="18"/>
      <c r="C13" s="55" t="s">
        <v>6032</v>
      </c>
      <c r="D13" s="18"/>
      <c r="E13" s="18"/>
      <c r="F13" s="18"/>
      <c r="G13" s="18"/>
      <c r="H13" s="251" t="s">
        <v>6033</v>
      </c>
      <c r="I13" t="str">
        <f t="shared" si="0"/>
        <v>"ARTIFICER-Expert en objets magiques":  {
 "Code" : "Expert en objets magiques",
 "Class" : "ARTIFICER",
 "Specialisation" : "",
 "Description" : "Au niveau 10, vous obtenez une compréhension approfondie de la façon d'utiliser et de fabriquer des objets magiques : •	Vous pouvez vous lier avec quatre objets magiques à la fois. •	Si vous fabriquez un objet magique qui possède une rareté commun ou peu commun, cela ne vous prend qu'un quart du temps normal, et ne vous coûte que la moitié de l'or habituel."
  }</v>
      </c>
    </row>
    <row r="14" spans="1:9">
      <c r="A14" s="18" t="s">
        <v>5948</v>
      </c>
      <c r="B14" s="18"/>
      <c r="C14" s="55" t="s">
        <v>6034</v>
      </c>
      <c r="D14" s="18"/>
      <c r="E14" s="18"/>
      <c r="F14" s="18"/>
      <c r="G14" s="18"/>
      <c r="H14" s="251" t="s">
        <v>6035</v>
      </c>
      <c r="I14" t="str">
        <f t="shared" si="0"/>
        <v>"ARTIFICER-Objet stockeur de sort":  {
 "Code" : "Objet stockeur de sort",
 "Class" : "ARTIFICER",
 "Specialisation" : "",
 "Description" : "Au niveau 11, vous apprenez à stocker un sort dans un objet. Lorsque vous terminez un repos long, vous pouvez toucher une arme courante ou de guerre, ou n'importe quel objet que vous pouvez utiliser comme focaliseur de sorts, et y stocker un sort à l'intérieur. Vous choisissez ce sort qui doit être un sort d'artificier de niveau 1 ou 2 et qui se lance par 1 action (vous n'avez pas besoin d'avoir préparé ce sort). Si elle tient l'objet en main, une créature peut utiliser une action pour produire l'effet du sort, en utilisant le modificateur de votre caractéristique d'incantation. Si le sort nécessite de la concentration, la créature doit se concentrer. Le sort demeure dans l'objet jusqu'à ce qu'il ait été utilisé un nombre de fois égal à deux fois votre modificateur d'Intelligence (minimum 2) ou jusqu'à ce que vous utilisiez à nouveau cette capacité pour stocker un sort dans un objet."
  }</v>
      </c>
    </row>
    <row r="15" spans="1:9">
      <c r="A15" s="18" t="s">
        <v>5948</v>
      </c>
      <c r="B15" s="18"/>
      <c r="C15" s="55" t="s">
        <v>6036</v>
      </c>
      <c r="D15" s="18"/>
      <c r="E15" s="18"/>
      <c r="F15" s="18"/>
      <c r="G15" s="18"/>
      <c r="H15" s="251" t="s">
        <v>6037</v>
      </c>
      <c r="I15" t="str">
        <f t="shared" si="0"/>
        <v>"ARTIFICER-Érudit en objets magiques":  {
 "Code" : "Érudit en objets magiques",
 "Class" : "ARTIFICER",
 "Specialisation" : "",
 "Description" : "Au niveau 14, votre compétence avec les objets magiques s'approfondit davantage : •	Vous pouvez vous lier avec cinq objets magiques à la fois. •	Vous ignorez toutes les exigences de classe, de race, de sort et de niveau pour utiliser ou se lier avec un objet magique."
  }</v>
      </c>
    </row>
    <row r="16" spans="1:9">
      <c r="A16" s="18" t="s">
        <v>5948</v>
      </c>
      <c r="B16" s="18"/>
      <c r="C16" s="55" t="s">
        <v>6038</v>
      </c>
      <c r="D16" s="18" t="s">
        <v>2807</v>
      </c>
      <c r="E16" s="55" t="s">
        <v>2807</v>
      </c>
      <c r="F16" s="18"/>
      <c r="G16" s="18"/>
      <c r="H16" s="251" t="s">
        <v>6042</v>
      </c>
      <c r="I16" t="str">
        <f t="shared" si="0"/>
        <v>"ARTIFICER-Maître des objets magiques":  {
 "Code" : "Maître des objets magiques",
 "Class" : "ARTIFICER",
 "Specialisation" : "","Stats" : true,"Auto" : true,
 "Description" : "À partir du niveau 18, vous pouvez vous lier avec six objets magiques à la fois."
  }</v>
      </c>
    </row>
    <row r="17" spans="1:9">
      <c r="A17" s="269" t="s">
        <v>5948</v>
      </c>
      <c r="B17" s="270"/>
      <c r="C17" s="275" t="s">
        <v>6039</v>
      </c>
      <c r="D17" s="270"/>
      <c r="E17" s="270"/>
      <c r="F17" s="270"/>
      <c r="G17" s="270"/>
      <c r="H17" s="271" t="s">
        <v>6040</v>
      </c>
      <c r="I17" t="str">
        <f t="shared" si="0"/>
        <v>"ARTIFICER-L'artifice dans l'âme":  {
 "Code" : "L'artifice dans l'âme",
 "Class" : "ARTIFICER",
 "Specialisation" : "",
 "Description" : "Au niveau 20, vous développez une connexion mystique avec vos objets magiques, que vous pouvez utiliser pour vous protéger : •	Vous gagnez un bonus de +1 à tous les jets de sauvegarde par objet magique auquel vous êtes lié. •	Si vous êtes réduit à 0 point de vie mais pas tué, vous pouvez utiliser votre réaction pour mettre fin à l'une de vos imprégnations d'artificier, ce qui vous rétablit à 1 point de vie au lieu de 0."
  }</v>
      </c>
    </row>
    <row r="18" spans="1:9">
      <c r="A18" s="48" t="s">
        <v>5948</v>
      </c>
      <c r="B18" s="18" t="s">
        <v>6043</v>
      </c>
      <c r="C18" s="55" t="s">
        <v>4012</v>
      </c>
      <c r="D18" s="18" t="s">
        <v>2807</v>
      </c>
      <c r="E18" s="18"/>
      <c r="F18" s="18"/>
      <c r="G18" s="18"/>
      <c r="H18" s="251" t="s">
        <v>6062</v>
      </c>
      <c r="I18" t="str">
        <f t="shared" si="0"/>
        <v>"ALCHEMIST-Maîtrise des outils":  {
 "Code" : "Maîtrise des outils",
 "Class" : "ARTIFICER",
 "Specialisation" : "ALCHEMIST","Stats" : true,
 "Description" : "Lorsque vous adoptez cette spécialité au niveau 3, vous gagnez la maîtrise du matériel d'alchimiste. Si vous possédez déjà cette maîtrise, vous acquérez la maîtrise d'un autre type d'outils d'artisan de votre choix."
  }</v>
      </c>
    </row>
    <row r="19" spans="1:9">
      <c r="A19" s="48" t="s">
        <v>5948</v>
      </c>
      <c r="B19" s="18" t="s">
        <v>6043</v>
      </c>
      <c r="C19" s="55" t="s">
        <v>6063</v>
      </c>
      <c r="D19" s="18"/>
      <c r="E19" s="18"/>
      <c r="F19" s="18"/>
      <c r="G19" s="18">
        <v>-1</v>
      </c>
      <c r="H19" s="251" t="s">
        <v>6064</v>
      </c>
      <c r="I19" t="str">
        <f t="shared" si="0"/>
        <v>"ALCHEMIST-Sorts d'alchimiste":  {
 "Code" : "Sorts d'alchimiste",
 "Class" : "ARTIFICER",
 "Specialisation" : "ALCHEMIST","UseNumber" : -1,
 "Description" : "À partir du niveau 3, certains de vos sorts sont toujours préparés, comme indiqué dans la table ci-dessous. Vous considérez ces sorts comme des sorts d'artificier mais ils ne comptent pas dans le nombre de sorts que vous pouvez préparer.  Niveau d'artificier	Sorts 3					mot de guérison, rayon empoisonné 5					flèche acide de Melf, sphère de feu 9					forme gazeuse, mot de guérison de groupe 13					flétrissement, protection contre la mort 17					nuage mortel, rappel à la vie"
  }</v>
      </c>
    </row>
    <row r="20" spans="1:9">
      <c r="A20" s="48" t="s">
        <v>5948</v>
      </c>
      <c r="B20" s="18" t="s">
        <v>6043</v>
      </c>
      <c r="C20" s="55" t="s">
        <v>6065</v>
      </c>
      <c r="D20" s="18"/>
      <c r="E20" s="18"/>
      <c r="F20" s="18"/>
      <c r="G20" s="18">
        <v>1</v>
      </c>
      <c r="H20" s="251" t="s">
        <v>6066</v>
      </c>
      <c r="I20" t="str">
        <f t="shared" si="0"/>
        <v>"ALCHEMIST-Élixir expérimental":  {
 "Code" : "Élixir expérimental",
 "Class" : "ARTIFICER",
 "Specialisation" : "ALCHEMIST","UseNumber" : 1,
 "Description" : "À partir du niveau 3, chaque fois que vous terminez un repos long, vous pouvez magiquement produire un élixir expérimental dans une fiole vide que vous touchez. Lancez un dé sur la table ci-dessous pour définir l'effet de l'élixir, lequel se déclenche lorsque quelqu'un boit l'élixir. Par une action, une créature peut boire l'élixir ou l'administrer à une créature incapable d'agir. Créer un élixir expérimental demande d'avoir un matériel d'alchimiste sur soi, et tout élixir créé avec cette capacité dure jusqu'à ce qu'il soit bu ou jusqu'à la fin de votre prochain repos long.  Lorsque vous atteignez certains niveaux dans cette classe, vous pouvez fabriquer plus d'élixirs à la fin d'un repos long : deux au niveau 6 et trois au niveau 15. Lancez séparément l'effet de chaque élixir. Chaque élixir nécessite son propre flacon. Vous pouvez créer des élixirs expérimentaux supplémentaires en dépensant pour chacun un emplacement de sort de niveau 1 ou supérieur. Dans ce cas, vous utilisez votre action pour créer l'élixir dans une fiole vide que vous touchez, et vous choisissez l'effet de l'élixir dans la table ci-dessous.  d6	Effet 1	Soins. Le buveur regagne un nombre de points de vie égal à 2d4 + votre modificateur d'Intelligence. 2	Rapidité. La vitesse du buveur augmente de 3 mètres durant 1 heure. 3	Résilience. Le buveur obtient un bonus de +1 à la CA durant 10 minutes. 4	Audace. Le buveur peut lancer un d4 et ajouter le nombre obtenu à chaque jet d'attaque ou de sauvegarde qu'il effectue dans la minute qui suit. 5	Vol. Le buveur obtient une vitesse de vol de 3 mètres durant 10 minutes. 6	Transformation. Le corps du buveur est transformé comme par le sort modification d'apparence. Le buveur détermine la transformation provoquée par le sort, dont les effets durent 10 minutes."
  }</v>
      </c>
    </row>
    <row r="21" spans="1:9">
      <c r="A21" s="48" t="s">
        <v>5948</v>
      </c>
      <c r="B21" s="55" t="s">
        <v>6043</v>
      </c>
      <c r="C21" s="55" t="s">
        <v>6067</v>
      </c>
      <c r="D21" s="18"/>
      <c r="E21" s="18"/>
      <c r="F21" s="18"/>
      <c r="G21" s="18">
        <v>-1</v>
      </c>
      <c r="H21" s="251" t="s">
        <v>6068</v>
      </c>
      <c r="I21" t="str">
        <f t="shared" si="0"/>
        <v>"ALCHEMIST-Alchimiste érudit":  {
 "Code" : "Alchimiste érudit",
 "Class" : "ARTIFICER",
 "Specialisation" : "ALCHEMIST","UseNumber" : -1,
 "Description" : "Au niveau 5, votre contrôle des réactifs magico-chimiques est devenu magistral, améliorant les soins et les dégâts que vous en tirez. Lorsque vous lancez un sort en utilisant votre matériel d'alchimiste comme focaliseur, vous recevez un bonus à un jet du sort. Ce jet doit restaurer des points de vie ou être un jet qui inflige des dégâts d'acide, de feu, nécrotique ou de poison, et le bonus est égal à votre modificateur d'Intelligence (minimum +1)."
  }</v>
      </c>
    </row>
    <row r="22" spans="1:9">
      <c r="A22" s="48" t="s">
        <v>5948</v>
      </c>
      <c r="B22" s="18" t="s">
        <v>6043</v>
      </c>
      <c r="C22" s="55" t="s">
        <v>6069</v>
      </c>
      <c r="D22" s="18"/>
      <c r="E22" s="18"/>
      <c r="F22" s="18"/>
      <c r="G22" s="55">
        <v>-1</v>
      </c>
      <c r="H22" s="251" t="s">
        <v>6070</v>
      </c>
      <c r="I22" t="str">
        <f t="shared" si="0"/>
        <v>"ALCHEMIST-Réactifs de restauration":  {
 "Code" : "Réactifs de restauration",
 "Class" : "ARTIFICER",
 "Specialisation" : "ALCHEMIST","UseNumber" : -1,
 "Description" : "À partir du niveau 9, vous pouvez incorporer des réactifs de restauration dans certains de vos travaux :  Chaque fois qu'une créature boit un élixir expérimental que vous avez créé, la créature gagne des points de vie temporaires égaux à 2d6 + votre modificateur d'Intelligence (minimum 1 point de vie temporaire). Vous pouvez lancer restauration partielle sans dépenser d'emplacement de sort et sans avoir à le préparer, du moment que vous utilisez votre matériel d'alchimiste comme focaliseur de sort. Vous pouvez lancer ce sort de cette façon un nombre de fois égal à votre modificateur d'Intelligence (minimum une fois) et vous récupérez toutes les utilisations dépensées lorsque vous terminez un repos long."
  }</v>
      </c>
    </row>
    <row r="23" spans="1:9">
      <c r="A23" s="269" t="s">
        <v>5948</v>
      </c>
      <c r="B23" s="270" t="s">
        <v>6043</v>
      </c>
      <c r="C23" s="275" t="s">
        <v>6071</v>
      </c>
      <c r="D23" s="270"/>
      <c r="E23" s="270"/>
      <c r="F23" s="270"/>
      <c r="G23" s="270">
        <v>-1</v>
      </c>
      <c r="H23" s="271" t="s">
        <v>6072</v>
      </c>
      <c r="I23" t="str">
        <f t="shared" si="0"/>
        <v>"ALCHEMIST-Maître chimiste":  {
 "Code" : "Maître chimiste",
 "Class" : "ARTIFICER",
 "Specialisation" : "ALCHEMIST","UseNumber" : -1,
 "Description" : "Au niveau 15, vous avez été exposé à tant d'éléments chimiques dont vous avez percé les secrets qu'ils ne présentent plus aucun risque pour vous, au point que vous les utilisez même pour mettre fin prestement à certaines affections :  Vous gagnez la résistance aux dégâts d'acide et de poison, et vous êtes désormais immunisé à la condition empoisonné. Vous pouvez lancer restauration supérieure et guérison sans dépenser d'emplacement de sort, sans avoir à les préparer et sans utiliser de composantes matérielles, du moment que vous utilisez votre matériel d'alchimiste comme focaliseur de sort. Une fois que vous avez lancé l'un ou l'autre de ces sorts avec cette capacité, vous ne pouvez plus lancer ce sort de cette manière avant d'avoir terminé un repos long."
  }</v>
      </c>
    </row>
    <row r="24" spans="1:9">
      <c r="A24" s="48" t="s">
        <v>5948</v>
      </c>
      <c r="B24" s="239" t="s">
        <v>6047</v>
      </c>
      <c r="C24" s="55" t="s">
        <v>4012</v>
      </c>
      <c r="D24" s="18" t="s">
        <v>2807</v>
      </c>
      <c r="E24" s="18"/>
      <c r="F24" s="18"/>
      <c r="G24" s="18"/>
      <c r="H24" s="251" t="s">
        <v>6073</v>
      </c>
      <c r="I24" t="str">
        <f t="shared" si="0"/>
        <v>"GUNNER-Maîtrise des outils":  {
 "Code" : "Maîtrise des outils",
 "Class" : "ARTIFICER",
 "Specialisation" : "GUNNER","Stats" : true,
 "Description" : "Lorsque vous adoptez cette spécialité au niveau 3, vous gagnez la maîtrise des outils de menuisier. Si vous possédez déjà cette maîtrise, vous acquérez la maîtrise d'un autre type d'outils d'artisan de votre choix."
  }</v>
      </c>
    </row>
    <row r="25" spans="1:9">
      <c r="A25" s="48" t="s">
        <v>5948</v>
      </c>
      <c r="B25" s="239" t="s">
        <v>6047</v>
      </c>
      <c r="C25" s="55" t="s">
        <v>6074</v>
      </c>
      <c r="D25" s="18"/>
      <c r="E25" s="18"/>
      <c r="F25" s="18"/>
      <c r="G25" s="55">
        <v>-1</v>
      </c>
      <c r="H25" s="251" t="s">
        <v>6075</v>
      </c>
      <c r="I25" t="str">
        <f t="shared" si="0"/>
        <v>"GUNNER-Sorts d'artilleur":  {
 "Code" : "Sorts d'artilleur",
 "Class" : "ARTIFICER",
 "Specialisation" : "GUNNER","UseNumber"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bouclier, onde de choc 5					rayon ardent, fracassement 9					boule de feu, mur de vent 13					tempête de grêle, mur de feu 17					cône de froid, mur de force"
  }</v>
      </c>
    </row>
    <row r="26" spans="1:9">
      <c r="A26" s="48" t="s">
        <v>5948</v>
      </c>
      <c r="B26" s="239" t="s">
        <v>6047</v>
      </c>
      <c r="C26" s="55" t="s">
        <v>6076</v>
      </c>
      <c r="D26" s="18"/>
      <c r="E26" s="18"/>
      <c r="F26" s="18"/>
      <c r="G26" s="55">
        <v>-1</v>
      </c>
      <c r="H26" s="251" t="s">
        <v>6077</v>
      </c>
      <c r="I26" t="str">
        <f t="shared" si="0"/>
        <v>"GUNNER-Canon occulte":  {
 "Code" : "Canon occulte",
 "Class" : "ARTIFICER",
 "Specialisation" : "GUNNER","UseNumber" : -1,
 "Description" : "Au niveau 3, vous apprenez à créer un canon occulte. Avec des outils de menuisier ou de forgeron en main, vous pouvez par une action créer magiquement un canon occulte de taille TP ou P dans un espace inoccupé sur une surface horizontale dans un rayon de 1,50 m autour de vous. Un canon occulte de taille P occupe son espace, et un canon de taille TP peut être porté dans une main. Une fois que vous avez créé un canon, vous ne pouvez plus recommencer avant d'avoir terminé un repos long ou d'avoir dépensé un emplacement de sort de niveau 1 ou supérieur. Vous ne pouvez avoir qu'un seul canon à la fois et vous ne pouvez pas en créer un autre tant que votre canon est présent.  Le canon est un objet magique. Quelle que soit sa taille, il a une CA de 18 et un nombre de points de vie égal à cinq fois votre niveau d'artificier. Il est immunisé aux dégâts de poison, aux dégâts psychiques et à toutes les conditions. S'il est contraint d'effectuer un jet de caractéristiques ou de sauvegarde, considérez toutes ses valeurs de caractéristiques comme étant de 10 (+0). Si le sort réparation le prend pour cible, il récupère 2d6 points de vie. Il disparaît s'il tombe à 0 point de vie ou au bout de 1 heure. Vous pouvez le révoquer prématurément par une action. Lorsque vous créez le canon, vous choisissez son apparence et s'il possède des jambes ou pas. Vous choisissez également son type dans la table ci-dessous. À chacun de vos tours, vous pouvez prendre une action bonus pour l'activer si vous êtes dans un rayon de 18 mètres autour de lui. Au cours de la même action, vous pouvez le faire marcher ou grimper de 4,50 m vers un espace inoccupé, s'il possède des jambes.  Canon				Activation Lance-Flammes		Le canon exhale du feu dans un cône adjacent de 4,50 m que vous indiquez. Chaque créature dans cette zone doit réaliser un jet de sauvegarde de Dextérité contre le DD de sauvegarde de vos sorts et subir 2d8 dégâts de feu en cas d'échec ou la moitié en cas de réussite. Le feu enflamme tout objet inflammable dans la zone qui n'est pas tenu ou porté. Baliste de Force	Effectuez une attaque à distance avec un sort en prenant le canon pour origine et en ciblant une créature ou un objet à 36 mètres ou moins de lui. Si l'attaque touche, la cible subit 2d8 dégâts de Force et, si la cible est une créature, celle-ci est repoussée de 1,50 m. Défenseur			Le canon émet un jaillissement d'énergie positive qui lui octroie, ainsi qu'à chaque créature de votre choix dans un rayon de 3 mètres, un nombre de points de vie temporaires égal à 1d8 + votre modificateur d'Intelligence (minimum +1)."
  }</v>
      </c>
    </row>
    <row r="27" spans="1:9">
      <c r="A27" s="48" t="s">
        <v>5948</v>
      </c>
      <c r="B27" s="239" t="s">
        <v>6047</v>
      </c>
      <c r="C27" s="55" t="s">
        <v>6078</v>
      </c>
      <c r="D27" s="18"/>
      <c r="E27" s="18"/>
      <c r="F27" s="18"/>
      <c r="G27" s="55">
        <v>-1</v>
      </c>
      <c r="H27" s="251" t="s">
        <v>6079</v>
      </c>
      <c r="I27" t="str">
        <f t="shared" si="0"/>
        <v>"GUNNER-Prototype d'arme à feu":  {
 "Code" : "Prototype d'arme à feu",
 "Class" : "ARTIFICER",
 "Specialisation" : "GUNNER","UseNumber" : -1,
 "Description" : "Au niveau 5, vous savez comment transformer une baguette, un bâton ou un sceptre en une arme à feu arcanique, un conduit pour vos sorts destructeurs. Lorsque vous terminez un repos long, vous pouvez utiliser des outils de menuisier pour sculpter des symboles spéciaux sur une baguette, un bâton ou un sceptre et ainsi le transformer en votre arme à feu arcanique. Les symboles disparaissent de l'objet si vous les gravez ensuite sur un autre objet. Sinon, ils durent indéfiniment.  Vous pouvez utiliser votre arme à feu arcanique comme focaliseur de sorts pour vos sorts d'artificier. Lorsque vous lancez un sort d'artificier à travers l'arme à feu, lancez un d8 et vous obtenez un bonus à l'un des jets de dégâts du sort égal au nombre obtenu."
  }</v>
      </c>
    </row>
    <row r="28" spans="1:9">
      <c r="A28" s="48" t="s">
        <v>5948</v>
      </c>
      <c r="B28" s="239" t="s">
        <v>6047</v>
      </c>
      <c r="C28" s="55" t="s">
        <v>6080</v>
      </c>
      <c r="D28" s="18"/>
      <c r="E28" s="18"/>
      <c r="F28" s="18"/>
      <c r="G28" s="55">
        <v>-1</v>
      </c>
      <c r="H28" s="251" t="s">
        <v>6081</v>
      </c>
      <c r="I28" t="str">
        <f t="shared" si="0"/>
        <v>"GUNNER-Canon explosif":  {
 "Code" : "Canon explosif",
 "Class" : "ARTIFICER",
 "Specialisation" : "GUNNER","UseNumber" : -1,
 "Description" : "À partir du niveau 9, chaque canon occulte que vous créez est plus destructeur :  Tous les jets de dégâts du canon augmentent de 1d8. Par une action, vous pouvez ordonner au canon d'exploser si vous êtes dans un rayon de 18 mètres autour de lui. Cela détruit le canon et force toute créature à 6 mètres ou moins de lui à effectuer un jet de sauvegarde de Dextérité contre le DD de sauvegarde de vos sorts, subissant 3d8 dégâts de force en cas d'échec ou la moitié de ces dégâts en cas de succès."
  }</v>
      </c>
    </row>
    <row r="29" spans="1:9">
      <c r="A29" s="269" t="s">
        <v>5948</v>
      </c>
      <c r="B29" s="383" t="s">
        <v>6047</v>
      </c>
      <c r="C29" s="275" t="s">
        <v>6082</v>
      </c>
      <c r="D29" s="270"/>
      <c r="E29" s="270"/>
      <c r="F29" s="270"/>
      <c r="G29" s="270">
        <v>-1</v>
      </c>
      <c r="H29" s="271" t="s">
        <v>6083</v>
      </c>
      <c r="I29" t="str">
        <f t="shared" si="0"/>
        <v>"GUNNER-Position fortifiée":  {
 "Code" : "Position fortifiée",
 "Class" : "ARTIFICER",
 "Specialisation" : "GUNNER","UseNumber" : -1,
 "Description" : "À partir du niveau 15, vous êtes passé maître dans l'art de défendre une position avec Canon occulte.  Grâce à un champ scintillant de protection magique émanant du canon, vous et vos alliés bénéficiez d'un abri partiel dans un rayon de 3 mètres autour du canon que vous avez créé avec Canon occulte. Vous pouvez maintenant avoir deux canons au même moment. Vous pouvez en créer deux avec la même action (mais pas avec le même emplacement de sort) et vous pouvez activer les deux avec la même action bonus. Vous choisissez si les canons sont identiques ou différents. Vous ne pouvez pas créer un troisième canon tant que vous en avez deux."
  }</v>
      </c>
    </row>
    <row r="30" spans="1:9">
      <c r="A30" s="48" t="s">
        <v>5948</v>
      </c>
      <c r="B30" s="239" t="s">
        <v>6049</v>
      </c>
      <c r="C30" s="55" t="s">
        <v>4012</v>
      </c>
      <c r="D30" s="18" t="s">
        <v>2807</v>
      </c>
      <c r="E30" s="18"/>
      <c r="F30" s="18"/>
      <c r="G30" s="18"/>
      <c r="H30" s="251" t="s">
        <v>6084</v>
      </c>
      <c r="I30" t="str">
        <f t="shared" si="0"/>
        <v>"BLACKSMITH-Maîtrise des outils":  {
 "Code" : "Maîtrise des outils",
 "Class" : "ARTIFICER",
 "Specialisation" : "BLACKSMITH","Stats" : true,
 "Description" : "Lorsque vous adoptez cette spécialité au niveau 3, vous gagnez la maîtrise des outils de forgeron. Si vous possédez déjà cette maîtrise, vous acquérez la maîtrise d'un autre type d'outils d'artisan de votre choix."
  }</v>
      </c>
    </row>
    <row r="31" spans="1:9">
      <c r="A31" s="48" t="s">
        <v>5948</v>
      </c>
      <c r="B31" s="239" t="s">
        <v>6049</v>
      </c>
      <c r="C31" s="55" t="s">
        <v>6085</v>
      </c>
      <c r="D31" s="18"/>
      <c r="E31" s="18"/>
      <c r="F31" s="18"/>
      <c r="G31" s="55">
        <v>-1</v>
      </c>
      <c r="H31" s="251" t="s">
        <v>6086</v>
      </c>
      <c r="I31" t="str">
        <f t="shared" si="0"/>
        <v>"BLACKSMITH-Sorts de forgeron de guerre":  {
 "Code" : "Sorts de forgeron de guerre",
 "Class" : "ARTIFICER",
 "Specialisation" : "BLACKSMITH","UseNumber"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héroïsme, bouclier 5					châtiment lumineux, lien de protection 9					aura de vitalité, invocation de tir de barrage 13					aura de pureté, bouclier de feu 17					châtiment de bannissement, soins de groupe"
  }</v>
      </c>
    </row>
    <row r="32" spans="1:9">
      <c r="A32" s="48" t="s">
        <v>5948</v>
      </c>
      <c r="B32" s="239" t="s">
        <v>6049</v>
      </c>
      <c r="C32" s="55" t="s">
        <v>6087</v>
      </c>
      <c r="D32" s="18"/>
      <c r="E32" s="18"/>
      <c r="F32" s="18"/>
      <c r="G32" s="55">
        <v>-1</v>
      </c>
      <c r="H32" s="251" t="s">
        <v>6088</v>
      </c>
      <c r="I32" t="str">
        <f t="shared" si="0"/>
        <v>"BLACKSMITH-Paré au combat":  {
 "Code" : "Paré au combat",
 "Class" : "ARTIFICER",
 "Specialisation" : "BLACKSMITH","UseNumber" : -1,
 "Description" : "Au niveau 3, votre entraînement au combat et vos expérimentations avec la magie ont porté leurs fruits de deux manières :  Vous gagnez la maîtrise des armes de guerre. Lorsque vous portez une attaque avec une arme magique, vous pouvez utiliser votre modificateur d'intelligence, à la place de votre modificateur de Force ou de Dextérité, pour les jets d'attaque et de dégâts."
  }</v>
      </c>
    </row>
    <row r="33" spans="1:9">
      <c r="A33" s="48" t="s">
        <v>5948</v>
      </c>
      <c r="B33" s="239" t="s">
        <v>6049</v>
      </c>
      <c r="C33" s="55" t="s">
        <v>6089</v>
      </c>
      <c r="D33" s="18"/>
      <c r="E33" s="18"/>
      <c r="F33" s="18"/>
      <c r="G33" s="55">
        <v>-1</v>
      </c>
      <c r="H33" s="251" t="s">
        <v>6090</v>
      </c>
      <c r="I33" t="str">
        <f t="shared" si="0"/>
        <v>"BLACKSMITH-Protecteur d'acier":  {
 "Code" : "Protecteur d'acier",
 "Class" : "ARTIFICER",
 "Specialisation" : "BLACKSMITH","UseNumber" : -1,
 "Description" : "Au niveau 3, vos bricolages dans vos temps libres ont donné naissance à un compagnon fidèle, un protecteur d'acier. Il est amical envers vous et vos compagnons, et obéit à vos ordres. Il est amical envers vous et vos compagnons, et obéit à vos ordres. Référez-vous au bloc de statistiques du protecteur d'acier. Vous déterminez l'apparence de la créature et si elle a deux ou quatre pattes ; votre choix n'a aucun effet sur ses statistiques.  En combat, le protecteur d'acier partage votre initiative, mais prend son tour immédiatement après le vôtre. Il peut bouger et utiliser sa réaction par lui-même, mais la seule action qu'il peut entreprendre à son tour est l'action Esquiver, à moins que vous ne preniez une action bonus à votre tour pour lui ordonner d'entreprendre l'une des actions de son bloc de stat, ou bien encore une action parmi Aider, Chercher, Foncer, Se cacher et Se désengager.  Si le sort réparation est lancé sur le protecteur d'acier, il récupère 2d6 points de vie. S'il est mort depuis moins d'une heure, vous pouvez par une action utiliser vos outils de forgeron pour le ramener à la vie, à condition de vous trouver à 1,50 m ou moins de lui et de dépenser un emplacement de sort de niveau 1 ou supérieur. Le protecteur d'acier revient à la vie avec tous ses points de vie récupérés. À la fin de repos long, vous pouvez créer un nouveau protecteur d'acier si vous avez vos outils de forgeron avec vous. Si vous avez déjà un protecteur d'acier dû à cette capacité, le premier périt immédiatement."
  }</v>
      </c>
    </row>
    <row r="34" spans="1:9">
      <c r="A34" s="48" t="s">
        <v>5948</v>
      </c>
      <c r="B34" s="239" t="s">
        <v>6049</v>
      </c>
      <c r="C34" s="55" t="s">
        <v>194</v>
      </c>
      <c r="D34" s="18"/>
      <c r="E34" s="18"/>
      <c r="F34" s="18"/>
      <c r="G34" s="55">
        <v>-1</v>
      </c>
      <c r="H34" s="251" t="s">
        <v>3766</v>
      </c>
      <c r="I34" t="str">
        <f t="shared" si="0"/>
        <v>"BLACKSMITH-Attaque supplémentaire":  {
 "Code" : "Attaque supplémentaire",
 "Class" : "ARTIFICER",
 "Specialisation" : "BLACKSMITH","UseNumber" : -1,
 "Description" : "À partir du niveau 5, vous pouvez attaquer deux fois, au lieu d'une seule, chaque fois que vous réalisez l’action Attaquer durant votre tour."
  }</v>
      </c>
    </row>
    <row r="35" spans="1:9">
      <c r="A35" s="48" t="s">
        <v>5948</v>
      </c>
      <c r="B35" s="239" t="s">
        <v>6049</v>
      </c>
      <c r="C35" s="55" t="s">
        <v>6091</v>
      </c>
      <c r="D35" s="18"/>
      <c r="E35" s="18"/>
      <c r="F35" s="18"/>
      <c r="G35" s="55" t="s">
        <v>6017</v>
      </c>
      <c r="H35" s="251" t="s">
        <v>6092</v>
      </c>
      <c r="I35" t="str">
        <f t="shared" si="0"/>
        <v>"BLACKSMITH-Décharge arcanique":  {
 "Code" : "Décharge arcanique",
 "Class" : "ARTIFICER",
 "Specialisation" : "BLACKSMITH","UseNumber" : "INT",
 "Description" : "Au niveau 9, vous apprenez de nouvelles façons de canaliser l'énergie arcanique pour endommager ou soigner. Lorsque vous touchez une cible lors d'une attaque avec une arme magique ou que votre protecteur d'acier touche une cible, vous pouvez canaliser l'énergie magique dans le coup pour créer l'un des effets suivants :  La cible subit 2d6 dégâts de force supplémentaires. Choisissez une créature ou un objet que vous pouvez voir dans un rayon de 9 mètres autour de la cible. Une énergie curative se répand dans le bénéficiaire choisit, que récupère 2d6 points de vie. Vous pouvez canaliser cette énergie magique un nombre de fois égal à votre modificateur d'intelligence (minimum une fois), mais pas plus d'une fois par tour. Vous récupérez toutes les utilisations de cette capacité lorsque vous terminez un repos long."
  }</v>
      </c>
    </row>
    <row r="36" spans="1:9">
      <c r="A36" s="48" t="s">
        <v>5948</v>
      </c>
      <c r="B36" s="239" t="s">
        <v>6049</v>
      </c>
      <c r="C36" s="55" t="s">
        <v>6093</v>
      </c>
      <c r="D36" s="18"/>
      <c r="E36" s="18"/>
      <c r="F36" s="18"/>
      <c r="G36" s="55">
        <v>-1</v>
      </c>
      <c r="H36" s="251" t="s">
        <v>6094</v>
      </c>
      <c r="I36" t="str">
        <f t="shared" si="0"/>
        <v>"BLACKSMITH-Défenseur amélioré":  {
 "Code" : "Défenseur amélioré",
 "Class" : "ARTIFICER",
 "Specialisation" : "BLACKSMITH","UseNumber" : -1,
 "Description" : "Au niveau 15, votre décharge arcanique et votre protecteur d'acier deviennent encore plus puissants :  Les dégâts supplémentaires et les soins de votre décharge arcanique passent à 4d6. Votre protecteur d'acier gagne un bonus de +2 à la CA. Lorsque votre protecteur d'acier utilise sa Parade d'attaque, l'attaquant subit des dégâts de force égaux à 1d4 + votre modificateur d'intelligence."
  }</v>
      </c>
    </row>
    <row r="37" spans="1:9">
      <c r="A37" s="160" t="s">
        <v>241</v>
      </c>
      <c r="B37" s="161"/>
      <c r="C37" s="161" t="s">
        <v>1020</v>
      </c>
      <c r="D37" s="161"/>
      <c r="E37" s="161"/>
      <c r="F37" s="161" t="s">
        <v>2807</v>
      </c>
      <c r="G37" s="161"/>
      <c r="H37" s="250" t="s">
        <v>3274</v>
      </c>
      <c r="I37" t="str">
        <f t="shared" si="0"/>
        <v>"BARBARIAN-Rage":  {
 "Code" : "Rage",
 "Class" : "BARBARIAN",
 "Specialisation" : "","Special" : true,
 "Description" : "En combat, vous vous battez avec une férocité bestiale. Durant votre tour, vous pouvez entrer en rage en utilisant une action bonus. En rage, vous gagnez les bénéfices suivants si vous ne portez pas d'armure lourde :  Vous avez un avantage aux jets de Force et aux jets de sauvegarde de Force. Quand vous effectuez une attaque au corps à corps avec une arme utilisant la Force, vous gagnez un bonus aux jets de dégâts qui dépend de votre niveau de barbare, comme indiqué dans la colonne Dégâts de la table ci-dessus. Vous avez la résistance aux dégâts contondants, perforants et tranchants. Si vous êtes capable de lancer des sorts, vous ne pouvez les lancer ou vous concentrer sur eux pour toute la durée de la rage.  Votre rage dure 1 minute. Elle finit prématurément si vous devenez inconscient, ou si votre tour se termine et que vous n'avez ni attaqué une créature hostile, ni subi des dégâts, depuis votre précédent tour. Vous pouvez également mettre fin à votre rage durant votre tour par une action bonus. Vous récupérez les utilisations de rage dépensées après avoir terminé un repos long."
  }</v>
      </c>
    </row>
    <row r="38" spans="1:9">
      <c r="A38" s="48" t="s">
        <v>241</v>
      </c>
      <c r="B38" s="18"/>
      <c r="C38" s="18" t="s">
        <v>997</v>
      </c>
      <c r="D38" s="18" t="s">
        <v>2807</v>
      </c>
      <c r="E38" s="18"/>
      <c r="F38" s="18"/>
      <c r="G38" s="18"/>
      <c r="H38" s="251" t="s">
        <v>3895</v>
      </c>
      <c r="I38" t="str">
        <f t="shared" si="0"/>
        <v>"BARBARIAN-Voie primitive":  {
 "Code" : "Voie primitive",
 "Class" : "BARBARIAN",
 "Specialisation" : "","Stats" : true,
 "Description" : "Au niveau 3, vous choisissez la voie par laquelle s'exprime votre rage. Choisissez la voie du berserker ou la voie du guerrier totem, chacune étant détaillée ci-dessous. Votre choix vous accorde des capacités aux niveaux 3, 6, 10 et 14."
  }</v>
      </c>
    </row>
    <row r="39" spans="1:9">
      <c r="A39" s="48" t="s">
        <v>241</v>
      </c>
      <c r="B39" s="18"/>
      <c r="C39" s="18" t="s">
        <v>176</v>
      </c>
      <c r="D39" s="18" t="s">
        <v>2807</v>
      </c>
      <c r="E39" s="18" t="s">
        <v>2807</v>
      </c>
      <c r="F39" s="18"/>
      <c r="G39" s="18"/>
      <c r="H39" s="251" t="s">
        <v>3275</v>
      </c>
      <c r="I39" t="str">
        <f t="shared" si="0"/>
        <v>"BARBARIAN-Défense sans armure":  {
 "Code" : "Défense sans armure",
 "Class" : "BARBARIAN",
 "Specialisation" : "","Stats" : true,"Auto" : true,
 "Description" : "Tant que vous ne portez pas d'armure, votre classe d'armure est égale à 10 + votre modificateur de Dextérité + votre modificateur de Constitution. Vous pouvez utiliser un bouclier et continuer de profiter de cette capacité."
  }</v>
      </c>
    </row>
    <row r="40" spans="1:9">
      <c r="A40" s="48" t="s">
        <v>241</v>
      </c>
      <c r="B40" s="18"/>
      <c r="C40" s="18" t="s">
        <v>3276</v>
      </c>
      <c r="D40" s="18"/>
      <c r="E40" s="18"/>
      <c r="F40" s="18"/>
      <c r="G40" s="18">
        <v>-1</v>
      </c>
      <c r="H40" s="251" t="s">
        <v>3277</v>
      </c>
      <c r="I40" t="str">
        <f t="shared" si="0"/>
        <v>"BARBARIAN-Attaque téméraire":  {
 "Code" : "Attaque téméraire",
 "Class" : "BARBARIAN",
 "Specialisation" : "","UseNumber" : -1,
 "Description" : "À partir du niveau 2, vous pouvez mettre de côté votre défense pour attaquer avec toute la violence du désespoir. Lorsque vous effectuez la première attaque de votre tour, vous pouvez décider d'effectuer une Attaque téméraire. Vous obtenez ainsi un avantage aux jets d'attaque au corps à corps avec une arme utilisant la Force durant ce tour, mais les attaques effectuées contre vous ont également un avantage jusqu'à votre prochain tour."
  }</v>
      </c>
    </row>
    <row r="41" spans="1:9">
      <c r="A41" s="48" t="s">
        <v>241</v>
      </c>
      <c r="B41" s="18"/>
      <c r="C41" s="18" t="s">
        <v>3278</v>
      </c>
      <c r="D41" s="18"/>
      <c r="E41" s="18"/>
      <c r="F41" s="18"/>
      <c r="G41" s="18">
        <v>-1</v>
      </c>
      <c r="H41" s="251" t="s">
        <v>3279</v>
      </c>
      <c r="I41" t="str">
        <f t="shared" si="0"/>
        <v>"BARBARIAN-Sens du danger":  {
 "Code" : "Sens du danger",
 "Class" : "BARBARIAN",
 "Specialisation" : "","UseNumber" : -1,
 "Description" : "Au niveau 2, vous ressentez une sensation étrange lorsque les choses qui vous entourent ne sont pas comme elles devraient être, vous donnant un avantage lorsque vous tentez de vous extirper du danger. Vous avez un avantage aux jets de sauvegarde de Dextérité contre les effets que vous pouvez voir, comme les pièges ou les sorts. Pour bénéficier de cet effet vous ne devez pas être aveuglé, assourdi ou incapable d'agir."
  }</v>
      </c>
    </row>
    <row r="42" spans="1:9">
      <c r="A42" s="48" t="s">
        <v>241</v>
      </c>
      <c r="B42" s="18"/>
      <c r="C42" s="18" t="s">
        <v>167</v>
      </c>
      <c r="D42" s="18" t="s">
        <v>2807</v>
      </c>
      <c r="E42" s="18"/>
      <c r="F42" s="18"/>
      <c r="G42" s="18"/>
      <c r="H42" s="251" t="s">
        <v>191</v>
      </c>
      <c r="I42" t="str">
        <f t="shared" si="0"/>
        <v>"BARBARIAN-Amélioration de caractéristiques":  {
 "Code" : "Amélioration de caractéristiques",
 "Class" : "BARBARIAN",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43" spans="1:9">
      <c r="A43" s="48" t="s">
        <v>241</v>
      </c>
      <c r="B43" s="18"/>
      <c r="C43" s="18" t="s">
        <v>194</v>
      </c>
      <c r="D43" s="18"/>
      <c r="E43" s="18"/>
      <c r="F43" s="18"/>
      <c r="G43" s="18">
        <v>-1</v>
      </c>
      <c r="H43" s="251" t="s">
        <v>3280</v>
      </c>
      <c r="I43" t="str">
        <f t="shared" si="0"/>
        <v>"BARBARIAN-Attaque supplémentaire":  {
 "Code" : "Attaque supplémentaire",
 "Class" : "BARBARIAN",
 "Specialisation" : "","UseNumber" : -1,
 "Description" : "À partir du niveau 5, vous pouvez attaquer deux fois, au lieu d'une seule, chaque fois que vous réalisez l'action Attaquer durant votre tour."
  }</v>
      </c>
    </row>
    <row r="44" spans="1:9">
      <c r="A44" s="48" t="s">
        <v>241</v>
      </c>
      <c r="B44" s="18"/>
      <c r="C44" s="18" t="s">
        <v>3281</v>
      </c>
      <c r="D44" s="18"/>
      <c r="E44" s="18" t="s">
        <v>2807</v>
      </c>
      <c r="F44" s="18"/>
      <c r="G44" s="18"/>
      <c r="H44" s="280" t="s">
        <v>3282</v>
      </c>
      <c r="I44" t="str">
        <f t="shared" si="0"/>
        <v>"BARBARIAN-Déplacement rapide":  {
 "Code" : "Déplacement rapide",
 "Class" : "BARBARIAN",
 "Specialisation" : "","Auto" : true,
 "Description" : "Au niveau 5, votre vitesse augmente de 3 mètres tant que vous ne portez pas d'armure lourde."
  }</v>
      </c>
    </row>
    <row r="45" spans="1:9">
      <c r="A45" s="48" t="s">
        <v>241</v>
      </c>
      <c r="B45" s="18"/>
      <c r="C45" s="18" t="s">
        <v>3283</v>
      </c>
      <c r="D45" s="18"/>
      <c r="E45" s="18"/>
      <c r="F45" s="18"/>
      <c r="G45" s="18">
        <v>-1</v>
      </c>
      <c r="H45" s="251" t="s">
        <v>3284</v>
      </c>
      <c r="I45" t="str">
        <f t="shared" si="0"/>
        <v>"BARBARIAN-Instinct sauvage":  {
 "Code" : "Instinct sauvage",
 "Class" : "BARBARIAN",
 "Specialisation" : "","UseNumber" : -1,
 "Description" : "Au niveau 7, vos instincts sont si aiguisés que vous obtenez un avantage aux jets d'initiative. De plus, si vous êtes surpris au début du combat et que vous n'êtes pas incapable d'agir, vous pouvez jouer normalement durant votre premier tour, mais seulement si vous entrez en rage avant de faire quoique ce soit d'autre à ce tour."
  }</v>
      </c>
    </row>
    <row r="46" spans="1:9">
      <c r="A46" s="48" t="s">
        <v>241</v>
      </c>
      <c r="B46" s="18"/>
      <c r="C46" s="18" t="s">
        <v>3285</v>
      </c>
      <c r="D46" s="18"/>
      <c r="E46" s="18"/>
      <c r="F46" s="18"/>
      <c r="G46" s="18">
        <v>-1</v>
      </c>
      <c r="H46" s="251" t="s">
        <v>3286</v>
      </c>
      <c r="I46" t="str">
        <f t="shared" si="0"/>
        <v>"BARBARIAN-Critique brutal":  {
 "Code" : "Critique brutal",
 "Class" : "BARBARIAN",
 "Specialisation" : "","UseNumber" : -1,
 "Description" : "À partir du niveau 9, vous pouvez lancer un dé de dégâts de votre arme en plus lorsque vous déterminez les dégâts supplémentaires que vous infligez sur un coup critique réussi avec une attaque au corps à corps. Ce bonus aux dégâts passe à deux dés au niveau 13 et à trois dés au niveau 17."
  }</v>
      </c>
    </row>
    <row r="47" spans="1:9">
      <c r="A47" s="48" t="s">
        <v>241</v>
      </c>
      <c r="B47" s="18"/>
      <c r="C47" s="18" t="s">
        <v>3287</v>
      </c>
      <c r="D47" s="18"/>
      <c r="E47" s="18"/>
      <c r="F47" s="18"/>
      <c r="G47" s="18">
        <v>-1</v>
      </c>
      <c r="H47" s="251" t="s">
        <v>3288</v>
      </c>
      <c r="I47" t="str">
        <f t="shared" si="0"/>
        <v>"BARBARIAN-Rage implacable":  {
 "Code" : "Rage implacable",
 "Class" : "BARBARIAN",
 "Specialisation" : "","UseNumber" : -1,
 "Description" : "À partir du niveau 11, votre rage vous permet de continuer à combattre en dépit des graves blessures qui vous affectent. Si vous tombez à 0 point de vie pendant votre rage et que vous ne mourrez pas sur le coup, vous pouvez faire un jet de sauvegarde de Constitution DD 10. Si vous le réussissez, vous retournez immédiatement à 1 point de vie. Chaque fois que vous utilisez cette capacité après la première, le DD augmente de 5. Quand vous terminez un repos court ou long le DD retombe à 10."
  }</v>
      </c>
    </row>
    <row r="48" spans="1:9">
      <c r="A48" s="48" t="s">
        <v>241</v>
      </c>
      <c r="B48" s="18"/>
      <c r="C48" s="18" t="s">
        <v>3289</v>
      </c>
      <c r="D48" s="18"/>
      <c r="E48" s="18"/>
      <c r="F48" s="18"/>
      <c r="G48" s="18">
        <v>-1</v>
      </c>
      <c r="H48" s="251" t="s">
        <v>3290</v>
      </c>
      <c r="I48" t="str">
        <f t="shared" si="0"/>
        <v>"BARBARIAN-Rage ininterrompue":  {
 "Code" : "Rage ininterrompue",
 "Class" : "BARBARIAN",
 "Specialisation" : "","UseNumber" : -1,
 "Description" : "En atteignant le niveau 15, votre rage est si intense qu'elle ne s'arrête prématurément qu'à la condition que vous tombiez inconscient ou que vous choisissiez de l'arrêter."
  }</v>
      </c>
    </row>
    <row r="49" spans="1:9">
      <c r="A49" s="48" t="s">
        <v>241</v>
      </c>
      <c r="B49" s="18"/>
      <c r="C49" s="18" t="s">
        <v>3291</v>
      </c>
      <c r="D49" s="18"/>
      <c r="E49" s="18"/>
      <c r="F49" s="18"/>
      <c r="G49" s="18">
        <v>-1</v>
      </c>
      <c r="H49" s="251" t="s">
        <v>3292</v>
      </c>
      <c r="I49" t="str">
        <f t="shared" si="0"/>
        <v>"BARBARIAN-Puissance indomptable":  {
 "Code" : "Puissance indomptable",
 "Class" : "BARBARIAN",
 "Specialisation" : "","UseNumber" : -1,
 "Description" : "Au niveau 18, si le résultat d'un de vos jets de Force est inférieur à votre valeur de Force, vous pouvez utiliser votre valeur de Force à la place de votre résultat."
  }</v>
      </c>
    </row>
    <row r="50" spans="1:9">
      <c r="A50" s="269" t="s">
        <v>241</v>
      </c>
      <c r="B50" s="270"/>
      <c r="C50" s="270" t="s">
        <v>3293</v>
      </c>
      <c r="D50" s="270" t="s">
        <v>2807</v>
      </c>
      <c r="E50" s="270"/>
      <c r="F50" s="270"/>
      <c r="G50" s="18"/>
      <c r="H50" s="271" t="s">
        <v>3294</v>
      </c>
      <c r="I50" t="str">
        <f t="shared" si="0"/>
        <v>"BARBARIAN-Champion primitif":  {
 "Code" : "Champion primitif",
 "Class" : "BARBARIAN",
 "Specialisation" : "","Stats" : true,
 "Description" : "Au niveau 20, vous êtes l'incarnation de la puissance du monde sauvage. Vos valeurs de Force et de Constitution augmentent de 4. Votre maximum dans ces valeurs de caractéristique est maintenant de 24."
  }</v>
      </c>
    </row>
    <row r="51" spans="1:9">
      <c r="A51" s="48" t="s">
        <v>241</v>
      </c>
      <c r="B51" s="18" t="s">
        <v>2850</v>
      </c>
      <c r="C51" s="18" t="s">
        <v>3295</v>
      </c>
      <c r="D51" s="18"/>
      <c r="E51" s="18"/>
      <c r="F51" s="18"/>
      <c r="G51" s="18">
        <v>-1</v>
      </c>
      <c r="H51" s="251" t="s">
        <v>3296</v>
      </c>
      <c r="I51" t="str">
        <f t="shared" si="0"/>
        <v>"BERSERKER-Frénésie":  {
 "Code" : "Frénésie",
 "Class" : "BARBARIAN",
 "Specialisation" : "BERSERKER","UseNumber" : -1,
 "Description" : "Dès que vous choisissez cette voie au niveau 3, vous pouvez choisir de sombrer dans un état de frénésie au cours de votre rage. Si vous le faites, pour la durée de votre rage, vous pouvez effectuer une unique attaque au corps à corps avec une arme en utilisant une action bonus à chacun de vos tours après celui-ci. Lorsque votre rage se termine, vous subissez un niveau d'épuisement."
  }</v>
      </c>
    </row>
    <row r="52" spans="1:9">
      <c r="A52" s="48" t="s">
        <v>241</v>
      </c>
      <c r="B52" s="18" t="s">
        <v>2850</v>
      </c>
      <c r="C52" s="18" t="s">
        <v>3297</v>
      </c>
      <c r="D52" s="18"/>
      <c r="E52" s="18"/>
      <c r="F52" s="18"/>
      <c r="G52" s="18">
        <v>-1</v>
      </c>
      <c r="H52" s="251" t="s">
        <v>3298</v>
      </c>
      <c r="I52" t="str">
        <f t="shared" si="0"/>
        <v>"BERSERKER-Rage inébranlable":  {
 "Code" : "Rage inébranlable",
 "Class" : "BARBARIAN",
 "Specialisation" : "BERSERKER","UseNumber" : -1,
 "Description" : "À partir du niveau 6, vous ne pouvez pas être charmé ou effrayé tant que vous êtes en rage. Si vous êtes déjà charmé ou effrayé lorsque vous entrez en rage, l'effet est suspendu le temps de votre rage."
  }</v>
      </c>
    </row>
    <row r="53" spans="1:9">
      <c r="A53" s="48" t="s">
        <v>241</v>
      </c>
      <c r="B53" s="18" t="s">
        <v>2850</v>
      </c>
      <c r="C53" s="18" t="s">
        <v>3299</v>
      </c>
      <c r="D53" s="18"/>
      <c r="E53" s="18"/>
      <c r="F53" s="18"/>
      <c r="G53" s="18">
        <v>-1</v>
      </c>
      <c r="H53" s="251" t="s">
        <v>3300</v>
      </c>
      <c r="I53" t="str">
        <f t="shared" si="0"/>
        <v>"BERSERKER-Présence intimidante":  {
 "Code" : "Présence intimidante",
 "Class" : "BARBARIAN",
 "Specialisation" : "BERSERKER","UseNumber" : -1,
 "Description" : "À partir du niveau 10, vous pouvez utiliser votre action pour effrayer quelqu'un avec votre présence effrayante. Pour ce faire, choisissez une créature que vous pouvez voir à 9 mètres maximum de vous. Si la créature peut vous voir ou vous entendre, elle doit réussir un jet de sauvegarde de Sagesse (DD égal à 8 + votre bonus de maîtrise + votre modificateur de Charisme) ou vous la effrayez jusqu'à la fin de votre prochain tour. Aux tours suivants, vous pouvez utiliser votre action pour augmenter d'un tour supplémentaire la durée de cet effet sur la créature effrayée. Cet effet se termine si la créature finit son tour hors de votre ligne de vue ou qu'elle se trouve à plus de 18 mètres de vous. Si la créature réussit son jet de sauvegarde, vous ne pouvez plus utiliser cette capacité contre elle durant 24 heures."
  }</v>
      </c>
    </row>
    <row r="54" spans="1:9">
      <c r="A54" s="269" t="s">
        <v>241</v>
      </c>
      <c r="B54" s="270" t="s">
        <v>2850</v>
      </c>
      <c r="C54" s="270" t="s">
        <v>3301</v>
      </c>
      <c r="D54" s="270"/>
      <c r="E54" s="270"/>
      <c r="F54" s="270"/>
      <c r="G54" s="18">
        <v>-1</v>
      </c>
      <c r="H54" s="271" t="s">
        <v>3302</v>
      </c>
      <c r="I54" t="str">
        <f t="shared" si="0"/>
        <v>"BERSERKER-Représailles":  {
 "Code" : "Représailles",
 "Class" : "BARBARIAN",
 "Specialisation" : "BERSERKER","UseNumber" : -1,
 "Description" : "À partir du niveau 14, lorsque vous subissez des dégâts d'une créature située à 1,50 mètre de vous, vous pouvez utiliser votre réaction pour effectuer une attaque au corps à corps avec une arme contre cette créature."
  }</v>
      </c>
    </row>
    <row r="55" spans="1:9">
      <c r="A55" s="48" t="s">
        <v>241</v>
      </c>
      <c r="B55" s="18" t="s">
        <v>2851</v>
      </c>
      <c r="C55" s="18" t="s">
        <v>3303</v>
      </c>
      <c r="D55" s="18"/>
      <c r="E55" s="18"/>
      <c r="F55" s="18"/>
      <c r="G55" s="18">
        <v>-1</v>
      </c>
      <c r="H55" s="251" t="s">
        <v>3304</v>
      </c>
      <c r="I55" t="str">
        <f t="shared" si="0"/>
        <v>"TOTEM_WARRIOR-Quêteur spirituel":  {
 "Code" : "Quêteur spirituel",
 "Class" : "BARBARIAN",
 "Specialisation" : "TOTEM_WARRIOR","UseNumber" : -1,
 "Description" : "Une voie qui cherche à vous initier au monde naturel, vous affiliant aux bêtes, est faite pour vous. Au niveau 3, lorsque vous adoptez cette voie, vous obtenez la capacité de lancer les sorts communication avec les animaux et sens animal, mais seulement en tant que rituels."
  }</v>
      </c>
    </row>
    <row r="56" spans="1:9">
      <c r="A56" s="48" t="s">
        <v>241</v>
      </c>
      <c r="B56" s="18" t="s">
        <v>2851</v>
      </c>
      <c r="C56" s="252" t="s">
        <v>3305</v>
      </c>
      <c r="D56" s="252"/>
      <c r="E56" s="252"/>
      <c r="F56" s="252"/>
      <c r="G56" s="18">
        <v>-1</v>
      </c>
      <c r="H56" s="251" t="s">
        <v>3306</v>
      </c>
      <c r="I56" t="str">
        <f t="shared" si="0"/>
        <v>"TOTEM_WARRIOR-Esprit totem":  {
 "Code" : "Esprit totem",
 "Class" : "BARBARIAN",
 "Specialisation" : "TOTEM_WARRIOR","UseNumber" : -1,
 "Description" : "Au niveau 3, lorsque vous adoptez cette voie, vous choisissez un esprit totem et obtenez les avantages associés. Vous devez fabriquer ou obtenir un objet totem - une amulette ou un ornement similaire - constitué d'os, de poils, de griffes, de plumes ou de dents de votre animal totem. Si vous le souhaitez, vous pouvez également obtenir un attribut physique mineur qui rappelle votre esprit totem. Par exemple, si vous avez choisi l'ours comme esprit totem, vous pourriez être incroyablement poilu et avoir la peau épaisse, ou si votre totem est l'aigle, vos yeux pourraient virer au jaune. Votre animal totem devrait être un animal correspondant à l'un de ceux listés ci-dessous ou s'en approchant mais dont l'espèce est plus appropriée à votre pays d'origine (un vautour ou un faucon à la place d'un aigle par exemple).  Aigle. Lorsque vous êtes en rage et ne portez pas d'armure lourde, les autres créatures ont un désavantage lors des attaques d'opportunité qu'elles effectuent contre vous, et vous pouvez utiliser l'action Foncer en tant qu'action bonus lors de votre tour. L'esprit de l'aigle fait de vous un prédateur capable de circuler dans la mêlée avec aisance. Loup. Lorsque vous êtes en rage, vos alliés ont un avantage aux jets d'attaque au corps à corps effectués contre toute créature située à 1,50 mètre de vous et qui vous sont hostiles. L'esprit du loup fait de vous le chef des chasseurs. Ours. Lorsque vous êtes en rage, vous avez la résistance à tous les types de dégâts sauf aux dégâts psychiques. L'esprit de l'ours vous rend suffisamment coriace pour résister à n'importe quel châtiment."
  }</v>
      </c>
    </row>
    <row r="57" spans="1:9">
      <c r="A57" s="48" t="s">
        <v>241</v>
      </c>
      <c r="B57" s="18" t="s">
        <v>2851</v>
      </c>
      <c r="C57" s="252" t="s">
        <v>3307</v>
      </c>
      <c r="D57" s="252"/>
      <c r="E57" s="252"/>
      <c r="F57" s="252"/>
      <c r="G57" s="18">
        <v>-1</v>
      </c>
      <c r="H57" s="251" t="s">
        <v>3308</v>
      </c>
      <c r="I57" t="str">
        <f t="shared" si="0"/>
        <v>"TOTEM_WARRIOR-Aspect de la bête":  {
 "Code" : "Aspect de la bête",
 "Class" : "BARBARIAN",
 "Specialisation" : "TOTEM_WARRIOR","UseNumber" : -1,
 "Description" : "Au niveau 6, vous obtenez un bénéfice magique dépendant de l'animal totem de votre choix. Vous pouvez choisir le même animal que celui sélectionné au niveau 3 ou en prendre un différent.  Aigle. Vous gagnez la vision de l'aigle. Vous pouvez voir jusqu'à 1,5 km sans difficulté, capable de discerner même les plus fins détails comme si vous regardiez quelque chose à 30 m de vous. De plus, une faible luminosité n'impose pas un désavantage à vos jets de Sagesse (Perception). Loup. Vous gagnez les sens de chasseur d'un loup. Vous pouvez pister les autres créatures lorsque vous voyagez à un rythme rapide et vous pouvez vous déplacer discrètement lorsque vous voyagez à un rythme normal (voir Partir à l'aventure). Ours. Vous gagnez la puissance de l'ours. Votre capacité de charge (dont votre chargement maximal et votre capacité à soulever des objets) est doublée et vous obtenez un avantage aux jets de Force effectués pour pousser, soulever, tirer ou briser des objets."
  }</v>
      </c>
    </row>
    <row r="58" spans="1:9">
      <c r="A58" s="48" t="s">
        <v>241</v>
      </c>
      <c r="B58" s="18" t="s">
        <v>2851</v>
      </c>
      <c r="C58" s="253" t="s">
        <v>3309</v>
      </c>
      <c r="D58" s="253"/>
      <c r="E58" s="253"/>
      <c r="F58" s="253"/>
      <c r="G58" s="18">
        <v>-1</v>
      </c>
      <c r="H58" s="254" t="s">
        <v>3310</v>
      </c>
      <c r="I58" t="str">
        <f t="shared" si="0"/>
        <v>"TOTEM_WARRIOR-Marcheur spirituel":  {
 "Code" : "Marcheur spirituel",
 "Class" : "BARBARIAN",
 "Specialisation" : "TOTEM_WARRIOR","UseNumber" : -1,
 "Description" : "Au niveau 10, vous pouvez lancer le sort communion avec la nature, mais seulement en tant que rituel. Lorsque vous le lancez, une version spirituelle de l'un des animaux que vous avez choisis avec Esprit totem ou Aspect de la bête apparaît et vous donne l'information que vous recherchez."
  }</v>
      </c>
    </row>
    <row r="59" spans="1:9">
      <c r="A59" s="51" t="s">
        <v>241</v>
      </c>
      <c r="B59" s="52" t="s">
        <v>2851</v>
      </c>
      <c r="C59" s="257" t="s">
        <v>3311</v>
      </c>
      <c r="D59" s="257"/>
      <c r="E59" s="257"/>
      <c r="F59" s="257"/>
      <c r="G59" s="18">
        <v>-1</v>
      </c>
      <c r="H59" s="255" t="s">
        <v>3312</v>
      </c>
      <c r="I59" t="str">
        <f t="shared" si="0"/>
        <v>"TOTEM_WARRIOR-Lien totémique":  {
 "Code" : "Lien totémique",
 "Class" : "BARBARIAN",
 "Specialisation" : "TOTEM_WARRIOR","UseNumber" : -1,
 "Description" : "Au niveau 14, vous obtenez un bénéfice magique correspondant à l'animal totem de votre choix. Vous pouvez choisir un animal que vous avez précédemment sélectionné ou en prendre un nouveau.  Aigle. Lorsque vous êtes en rage, vous obtenez une vitesse de vol égale à votre vitesse actuelle de déplacement à pied. Cette capacité fonctionne uniquement sur de cours déplacements ; vous tombez si vous terminez votre tour dans les airs et que rien d'autre ne vous maintient en hauteur. Loup. Lorsque vous êtes en rage vous pouvez utiliser une action bonus lors de votre tour pour mettre à terre une créature de taille G ou inférieure que vous avez touchée lors d'une attaque au corps à corps avec une arme. Ours. Lorsque vous êtes en rage, toute créature située à 1,50 mètre de vous, et qui vous est hostile, a un désavantage aux jets d'attaque effectué contre une cible autre que vous, ou tout personnage avec cette capacité. Un ennemi est immunisé à cet effet s'il ne peut pas vous voir ou vous entendre ou qu'il ne peut pas être effrayé."
  }</v>
      </c>
    </row>
    <row r="60" spans="1:9">
      <c r="A60" s="160" t="s">
        <v>242</v>
      </c>
      <c r="B60" s="161"/>
      <c r="C60" s="259" t="s">
        <v>3317</v>
      </c>
      <c r="D60" s="259"/>
      <c r="E60" s="259"/>
      <c r="F60" s="259"/>
      <c r="G60" s="18">
        <v>-1</v>
      </c>
      <c r="H60" s="250" t="s">
        <v>3318</v>
      </c>
      <c r="I60" t="str">
        <f t="shared" si="0"/>
        <v>"BARD-Inspiration bardique":  {
 "Code" : "Inspiration bardique",
 "Class" : "BARD",
 "Specialisation" : "","UseNumber" : -1,
 "Description" : "Vous pouvez inspirer les autres en maniant les mots ou la musique. Pour ce faire, utilisez une action bonus à votre tour pour choisir une créature autre que vous-même dans un rayon de 18 mètres autour de vous et qui peut vous entendre. Cette créature gagne un dé d'Inspiration bardique (d6). Une fois dans les 10 minutes suivantes, la créature peut lancer le dé et ajouter le nombre obtenu à un jet de caractéristique, d'attaque ou de sauvegarde qu'elle vient de faire. La créature peut attendre de voir le résultat de jet de caractéristique, d'attaque ou de sauvegarde avant de décider d'appliquer le dé d'Inspiration bardique, mais elle doit se décider avant que le MD ne dise si le jet est un succès ou un échec. Une fois le dé d'Inspiration bardique lancé, il est consommé. Une créature ne peut avoir qu'un seul dé d'Inspiration bardique à la fois.  Vous pouvez utiliser cette capacité un nombre de fois égal à votre modificateur de Charisme (minimum 1). Vous regagnez vos dés d'Inspiration bardique après avoir terminé un repos long. Votre dé d'Inspiration bardique change lorsque vous atteignez certains niveaux dans cette classe. Le dé passe à un d8 au niveau 5, un d10 au niveau 10, et un d12 au niveau 15."
  }</v>
      </c>
    </row>
    <row r="61" spans="1:9">
      <c r="A61" s="48" t="s">
        <v>242</v>
      </c>
      <c r="B61" s="18"/>
      <c r="C61" s="258" t="s">
        <v>3319</v>
      </c>
      <c r="D61" s="258"/>
      <c r="E61" s="258"/>
      <c r="F61" s="258"/>
      <c r="G61" s="18">
        <v>-1</v>
      </c>
      <c r="H61" s="260" t="s">
        <v>3320</v>
      </c>
      <c r="I61" t="str">
        <f t="shared" si="0"/>
        <v>"BARD-Touche-à-tout":  {
 "Code" : "Touche-à-tout",
 "Class" : "BARD",
 "Specialisation" : "","UseNumber" : -1,
 "Description" : "À partir du niveau 2, vous pouvez ajouter la moitié de votre bonus de maîtrise (arrondi au chiffre inférieur) à tout jet de caractéristique qui n'applique pas déjà votre bonus de maîtrise."
  }</v>
      </c>
    </row>
    <row r="62" spans="1:9">
      <c r="A62" s="48" t="s">
        <v>242</v>
      </c>
      <c r="B62" s="18"/>
      <c r="C62" s="258" t="s">
        <v>3321</v>
      </c>
      <c r="D62" s="258"/>
      <c r="E62" s="258"/>
      <c r="F62" s="258"/>
      <c r="G62" s="18">
        <v>-1</v>
      </c>
      <c r="H62" s="251" t="s">
        <v>3322</v>
      </c>
      <c r="I62" t="str">
        <f t="shared" si="0"/>
        <v>"BARD-Chant de repos":  {
 "Code" : "Chant de repos",
 "Class" : "BARD",
 "Specialisation" : "","UseNumber" : -1,
 "Description" : "À partir du niveau 2, vous pouvez utiliser de la musique ou une oraison apaisante lors d'un repos court pour aider à revitaliser vos alliés blessés. Si vous ou toutes créatures amies qui peuvent entendre votre représentation récupérez des points de vie à la fin du repos court en dépensant un ou plusieurs dés de vie, chacune de ces créatures récupère 1d6 points de vie supplémentaires.  Les points de vie supplémentaires augmentent lorsque vous atteignez certains niveaux dans cette classe : 1d8 au niveau 9, 1d10 au niveau 13 et 1d12 au niveau 17."
  }</v>
      </c>
    </row>
    <row r="63" spans="1:9">
      <c r="A63" s="48" t="s">
        <v>242</v>
      </c>
      <c r="B63" s="18"/>
      <c r="C63" s="258" t="s">
        <v>3792</v>
      </c>
      <c r="D63" s="258"/>
      <c r="E63" s="258"/>
      <c r="F63" s="258"/>
      <c r="G63" s="18">
        <v>-1</v>
      </c>
      <c r="H63" s="251" t="s">
        <v>3324</v>
      </c>
      <c r="I63" t="str">
        <f t="shared" si="0"/>
        <v>"BARD-Expertise":  {
 "Code" : "Expertise",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v>
      </c>
    </row>
    <row r="64" spans="1:9">
      <c r="A64" s="48" t="s">
        <v>242</v>
      </c>
      <c r="B64" s="18"/>
      <c r="C64" s="258" t="s">
        <v>3323</v>
      </c>
      <c r="D64" s="258"/>
      <c r="E64" s="258"/>
      <c r="F64" s="258"/>
      <c r="G64" s="18">
        <v>-1</v>
      </c>
      <c r="H64" s="260" t="s">
        <v>3324</v>
      </c>
      <c r="I64" t="str">
        <f t="shared" si="0"/>
        <v>"BARD-Collège bardique":  {
 "Code" : "Collège bardique",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v>
      </c>
    </row>
    <row r="65" spans="1:9">
      <c r="A65" s="48" t="s">
        <v>242</v>
      </c>
      <c r="B65" s="18"/>
      <c r="C65" s="258" t="s">
        <v>167</v>
      </c>
      <c r="D65" s="258" t="s">
        <v>2807</v>
      </c>
      <c r="E65" s="258"/>
      <c r="F65" s="258"/>
      <c r="G65" s="18"/>
      <c r="H65" s="260" t="s">
        <v>191</v>
      </c>
      <c r="I65" t="str">
        <f t="shared" si="0"/>
        <v>"BARD-Amélioration de caractéristiques":  {
 "Code" : "Amélioration de caractéristiques",
 "Class" : "BARD",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66" spans="1:9">
      <c r="A66" s="48" t="s">
        <v>242</v>
      </c>
      <c r="B66" s="18"/>
      <c r="C66" s="258" t="s">
        <v>3325</v>
      </c>
      <c r="D66" s="258"/>
      <c r="E66" s="258"/>
      <c r="F66" s="258"/>
      <c r="G66" s="18">
        <v>-1</v>
      </c>
      <c r="H66" s="260" t="s">
        <v>3326</v>
      </c>
      <c r="I66" t="str">
        <f t="shared" si="0"/>
        <v>"BARD-Source d'inspiration":  {
 "Code" : "Source d'inspiration",
 "Class" : "BARD",
 "Specialisation" : "","UseNumber" : -1,
 "Description" : "À partir du niveau 5, vous regagnez vos Inspirations bardiques utilisées lorsque vous terminez un repos court ou long."
  }</v>
      </c>
    </row>
    <row r="67" spans="1:9">
      <c r="A67" s="48" t="s">
        <v>242</v>
      </c>
      <c r="B67" s="18"/>
      <c r="C67" s="258" t="s">
        <v>3327</v>
      </c>
      <c r="D67" s="258"/>
      <c r="E67" s="258"/>
      <c r="F67" s="258"/>
      <c r="G67" s="18">
        <v>-1</v>
      </c>
      <c r="H67" s="260" t="s">
        <v>3328</v>
      </c>
      <c r="I67" t="str">
        <f t="shared" ref="I67:I130" si="1">""""&amp;IF(ISBLANK(B67),A67,B67)&amp;"-"&amp;C67&amp;""":  {
 ""Code"" : """&amp;C67&amp;""",
 ""Class"" : """&amp;A67&amp;""",
 ""Specialisation"" : """&amp;B67&amp;""","
 &amp;IF(ISBLANK(D67),"", """Stats"" : "&amp;D67&amp;",")
 &amp;IF(ISBLANK(E67),"", """Auto"" : "&amp;E67&amp;",")
 &amp;IF(ISBLANK(G67),"", """UseNumber"" : "&amp;G67&amp;",")
 &amp;IF(ISBLANK(F67),"", """Special"" : "&amp;F67&amp;",")&amp;"
 ""Description"" : """&amp;SUBSTITUTE(H67,CHAR(10)," ")&amp;"""
  }"</f>
        <v>"BARD-Contre charme":  {
 "Code" : "Contre charme",
 "Class" : "BARD",
 "Specialisation" : "","UseNumber" : -1,
 "Description" : "Au niveau 6, vous gagnez la possibilité d'utiliser des notes de musique ou des mots de pouvoir pour perturber les effets qui affectent la pensée. Par une action, vous pouvez commencer une représentation qui durera jusqu'à la fin de votre prochain tour. Pendant ce temps, vous et toute créature amie dans un rayon de 9 mètres autour de vous avez l'avantage aux jets de sauvegarde pour ne pas être effrayé ou charmé. Une créature doit être en mesure de vous entendre pour obtenir cet avantage. La représentation se termine plus tôt si vous êtes incapable d'agir ou réduit au silence, ou si vous y mettez volontairement un terme (aucune action n'est requise pour cela)."
  }</v>
      </c>
    </row>
    <row r="68" spans="1:9">
      <c r="A68" s="48" t="s">
        <v>242</v>
      </c>
      <c r="B68" s="18"/>
      <c r="C68" s="258" t="s">
        <v>3329</v>
      </c>
      <c r="D68" s="258"/>
      <c r="E68" s="258"/>
      <c r="F68" s="258"/>
      <c r="G68" s="18">
        <v>-1</v>
      </c>
      <c r="H68" s="251" t="s">
        <v>3330</v>
      </c>
      <c r="I68" t="str">
        <f t="shared" si="1"/>
        <v>"BARD-Secrets magiques":  {
 "Code" : "Secrets magiques",
 "Class" : "BARD",
 "Specialisation" : "","UseNumber" : -1,
 "Description" : "Au niveau 10, vous avez récupéré des connaissances magiques à partir d'un large éventail de disciplines. Choisissez deux sorts de n'importe quelles classes, y compris de barde. Les sorts choisis doivent être d'un niveau que vous pouvez lancer, comme le montre la table du barde, ou être des sorts mineurs. Les sorts choisis comptent comme des sorts de barde pour vous, et comptent dans la colonne des Sorts connus de la table du barde.  Vous apprenez deux sorts supplémentaires de n'importe quelles classes au niveau 14 puis à nouveau au niveau 18."
  }</v>
      </c>
    </row>
    <row r="69" spans="1:9">
      <c r="A69" s="269" t="s">
        <v>242</v>
      </c>
      <c r="B69" s="270"/>
      <c r="C69" s="272" t="s">
        <v>3331</v>
      </c>
      <c r="D69" s="272"/>
      <c r="E69" s="272"/>
      <c r="F69" s="272"/>
      <c r="G69" s="18">
        <v>-1</v>
      </c>
      <c r="H69" s="273" t="s">
        <v>3332</v>
      </c>
      <c r="I69" t="str">
        <f t="shared" si="1"/>
        <v>"BARD-Inspiration supérieure":  {
 "Code" : "Inspiration supérieure",
 "Class" : "BARD",
 "Specialisation" : "","UseNumber" : -1,
 "Description" : "Au niveau 20, quand vous jetez l'initiative et n'avez plus d'Inspiration bardique, vous regagnez une utilisation."
  }</v>
      </c>
    </row>
    <row r="70" spans="1:9">
      <c r="A70" s="48" t="s">
        <v>242</v>
      </c>
      <c r="B70" s="18" t="s">
        <v>2858</v>
      </c>
      <c r="C70" s="258" t="s">
        <v>3333</v>
      </c>
      <c r="D70" s="258" t="s">
        <v>2807</v>
      </c>
      <c r="E70" s="258"/>
      <c r="F70" s="258"/>
      <c r="G70" s="18"/>
      <c r="H70" s="261" t="s">
        <v>3334</v>
      </c>
      <c r="I70" t="str">
        <f t="shared" si="1"/>
        <v>"KNOWLEDGE_SCHOOL-Maîtrises supplémentaires":  {
 "Code" : "Maîtrises supplémentaires",
 "Class" : "BARD",
 "Specialisation" : "KNOWLEDGE_SCHOOL","Stats" : true,
 "Description" : "Lorsque vous rejoignez le collège du savoir au niveau 3, vous gagnez la maîtrise des trois compétences de votre choix."
  }</v>
      </c>
    </row>
    <row r="71" spans="1:9">
      <c r="A71" s="48" t="s">
        <v>242</v>
      </c>
      <c r="B71" s="18" t="s">
        <v>2858</v>
      </c>
      <c r="C71" s="258" t="s">
        <v>3335</v>
      </c>
      <c r="D71" s="258"/>
      <c r="E71" s="258"/>
      <c r="F71" s="258"/>
      <c r="G71" s="18">
        <v>-1</v>
      </c>
      <c r="H71" s="261" t="s">
        <v>3336</v>
      </c>
      <c r="I71" t="str">
        <f t="shared" si="1"/>
        <v>"KNOWLEDGE_SCHOOL-Mots cinglants":  {
 "Code" : "Mots cinglants",
 "Class" : "BARD",
 "Specialisation" : "KNOWLEDGE_SCHOOL","UseNumber" : -1,
 "Description" : "Également au niveau 3, vous apprenez à utiliser votre esprit pour détourner l'attention ou semer la confusion, ainsi qu'à saper la confiance et la compétence des autres. Quand une créature que vous pouvez voir dans un rayon de 18 mètres autour de vous fait un jet d'attaque, de caractéristique ou de dégâts, vous pouvez utiliser votre réaction pour dépenser une utilisation d'Inspiration bardique et soustraire votre jet du résultat de la cible. Vous pouvez choisir d'utiliser cette capacité après que la créature ait fait son jet, mais vous devez le faire avant que le MD ne dise si son jet est un succès ou un échec, ou avant que la créature inflige ses dégâts. La créature est immunisée si elle ne peut pas vous entendre ou si les charmes ne l'affectent pas."
  }</v>
      </c>
    </row>
    <row r="72" spans="1:9">
      <c r="A72" s="48" t="s">
        <v>242</v>
      </c>
      <c r="B72" s="18" t="s">
        <v>2858</v>
      </c>
      <c r="C72" s="258" t="s">
        <v>3337</v>
      </c>
      <c r="D72" s="258"/>
      <c r="E72" s="258"/>
      <c r="F72" s="258"/>
      <c r="G72" s="18">
        <v>-1</v>
      </c>
      <c r="H72" s="281" t="s">
        <v>3338</v>
      </c>
      <c r="I72" t="str">
        <f t="shared" si="1"/>
        <v>"KNOWLEDGE_SCHOOL-Secrets magiques supplémentaires":  {
 "Code" : "Secrets magiques supplémentaires",
 "Class" : "BARD",
 "Specialisation" : "KNOWLEDGE_SCHOOL","UseNumber" : -1,
 "Description" : "Au niveau 6, vous apprenez deux sorts de votre choix de n'importe quelle classe. Les sorts choisis doivent être d'un niveau que vous pouvez lancer, comme le montre la table du barde, ou être des sorts mineurs. Les sorts choisis comptent comme des sorts de barde pour vous, mais ne comptent pas pour le nombre de sorts de barde connus."
  }</v>
      </c>
    </row>
    <row r="73" spans="1:9">
      <c r="A73" s="269" t="s">
        <v>242</v>
      </c>
      <c r="B73" s="270" t="s">
        <v>2858</v>
      </c>
      <c r="C73" s="272" t="s">
        <v>3339</v>
      </c>
      <c r="D73" s="272"/>
      <c r="E73" s="272"/>
      <c r="F73" s="272"/>
      <c r="G73" s="18">
        <v>-1</v>
      </c>
      <c r="H73" s="273" t="s">
        <v>3340</v>
      </c>
      <c r="I73" t="str">
        <f t="shared" si="1"/>
        <v>"KNOWLEDGE_SCHOOL-Compétence hors pair":  {
 "Code" : "Compétence hors pair",
 "Class" : "BARD",
 "Specialisation" : "KNOWLEDGE_SCHOOL","UseNumber" : -1,
 "Description" : "À partir du niveau 14, quand vous faites un jet de caractéristique, vous pouvez utiliser une Inspiration bardique. Lancez le dé d'Inspiration bardique et ajoutez le résultat à votre jet de caractéristique. Vous pouvez choisir de le faire après avoir fait votre jet de votre caractéristique, mais vous devez le faire avant que le MD ne vous indique si vous réussissez ou échouez."
  }</v>
      </c>
    </row>
    <row r="74" spans="1:9">
      <c r="A74" s="48" t="s">
        <v>242</v>
      </c>
      <c r="B74" s="18" t="s">
        <v>2852</v>
      </c>
      <c r="C74" s="258" t="s">
        <v>3333</v>
      </c>
      <c r="D74" s="258" t="s">
        <v>2807</v>
      </c>
      <c r="E74" s="258"/>
      <c r="F74" s="258"/>
      <c r="G74" s="18"/>
      <c r="H74" s="261" t="s">
        <v>3341</v>
      </c>
      <c r="I74" t="str">
        <f t="shared" si="1"/>
        <v>"BRAVERY_SCHOOL-Maîtrises supplémentaires":  {
 "Code" : "Maîtrises supplémentaires",
 "Class" : "BARD",
 "Specialisation" : "BRAVERY_SCHOOL","Stats" : true,
 "Description" : "Lorsque vous rejoignez le collège de la vaillance au niveau 3, vous gagnez la maîtrise des armures intermédiaires, des boucliers et des armes de guerre."
  }</v>
      </c>
    </row>
    <row r="75" spans="1:9">
      <c r="A75" s="48" t="s">
        <v>242</v>
      </c>
      <c r="B75" s="18" t="s">
        <v>2852</v>
      </c>
      <c r="C75" s="258" t="s">
        <v>3342</v>
      </c>
      <c r="D75" s="258"/>
      <c r="E75" s="258"/>
      <c r="F75" s="258"/>
      <c r="G75" s="18">
        <v>-1</v>
      </c>
      <c r="H75" s="261" t="s">
        <v>3343</v>
      </c>
      <c r="I75" t="str">
        <f t="shared" si="1"/>
        <v>"BRAVERY_SCHOOL-Inspiration martiale":  {
 "Code" : "Inspiration martiale",
 "Class" : "BARD",
 "Specialisation" : "BRAVERY_SCHOOL","UseNumber" : -1,
 "Description" : "Également au niveau 3, vous apprenez à inspirer les autres dans la bataille. Une créature qui a un dé d'Inspiration bardique de votre part peut jeter ce dé et ajouter le résultat au jet de dégâts d'une arme qu'elle vient de faire. Ou bien, quand un jet d'attaque est fait contre cette créature, elle peut utiliser sa réaction pour jeter le dé d'Inspiration bardique et ajouter le résultat à sa CA contre cette attaque, après avoir vu le jet mais avant de savoir si elle touche ou non."
  }</v>
      </c>
    </row>
    <row r="76" spans="1:9">
      <c r="A76" s="48" t="s">
        <v>242</v>
      </c>
      <c r="B76" s="18" t="s">
        <v>2852</v>
      </c>
      <c r="C76" s="258" t="s">
        <v>194</v>
      </c>
      <c r="D76" s="258"/>
      <c r="E76" s="258"/>
      <c r="F76" s="258"/>
      <c r="G76" s="18">
        <v>-1</v>
      </c>
      <c r="H76" s="261" t="s">
        <v>3344</v>
      </c>
      <c r="I76" t="str">
        <f t="shared" si="1"/>
        <v>"BRAVERY_SCHOOL-Attaque supplémentaire":  {
 "Code" : "Attaque supplémentaire",
 "Class" : "BARD",
 "Specialisation" : "BRAVERY_SCHOOL","UseNumber" : -1,
 "Description" : "À partir de niveau 6, vous pouvez attaquer deux fois, au lieu d'une seule, chaque fois que vous réalisez l’action Attaquer durant votre tour."
  }</v>
      </c>
    </row>
    <row r="77" spans="1:9">
      <c r="A77" s="51" t="s">
        <v>242</v>
      </c>
      <c r="B77" s="52" t="s">
        <v>2852</v>
      </c>
      <c r="C77" s="262" t="s">
        <v>3345</v>
      </c>
      <c r="D77" s="262"/>
      <c r="E77" s="262"/>
      <c r="F77" s="262"/>
      <c r="G77" s="18">
        <v>-1</v>
      </c>
      <c r="H77" s="263" t="s">
        <v>3346</v>
      </c>
      <c r="I77" t="str">
        <f t="shared" si="1"/>
        <v>"BRAVERY_SCHOOL-Magie de combat":  {
 "Code" : "Magie de combat",
 "Class" : "BARD",
 "Specialisation" : "BRAVERY_SCHOOL","UseNumber" : -1,
 "Description" : "Au niveau 14, vous maîtrisez l'art de tisser les sorts et d'utiliser une arme en un seul acte harmonieux. Lorsque vous utilisez votre action pour lancer un sort de barde, vous pouvez faire une attaque avec une arme en tant qu'action bonus."
  }</v>
      </c>
    </row>
    <row r="78" spans="1:9">
      <c r="A78" s="264" t="s">
        <v>243</v>
      </c>
      <c r="B78" s="161"/>
      <c r="C78" s="259" t="s">
        <v>3891</v>
      </c>
      <c r="D78" s="259"/>
      <c r="E78" s="259"/>
      <c r="F78" s="259"/>
      <c r="G78" s="18">
        <v>-1</v>
      </c>
      <c r="H78" s="250" t="s">
        <v>3892</v>
      </c>
      <c r="I78" t="str">
        <f t="shared" si="1"/>
        <v>"CLERK-Canalisation d’énergie divine":  {
 "Code" : "Canalisation d’énergie divine",
 "Class" : "CLERK",
 "Specialisation" : "","UseNumber" : -1,
 "Description" : "Au niveau 2, vous gagnez la possibilité de canaliser l'énergie divine directement depuis votre divinité et d'utiliser cette énergie pour alimenter des effets magiques. Vous commencez avec deux effets : Renvoi des morts-vivants et un effet déterminé par votre domaine. Certains domaines vous accordent des effets supplémentaires lorsque vous montez de niveau, comme indiqué dans la description du domaine. Lorsque vous utilisez votre Canalisation d'énergie divine, vous choisissez quel effet créer. Vous devez ensuite terminer un repos court ou long pour pouvoir utiliser votre Canalisation d'énergie divine de nouveau.  Certains effets de la Canalisation d'énergie divine demandent un jet de sauvegarde. Lorsque vous utilisez un tel effet de cette classe, le DD est égal au DD de vos sorts de clerc.  À partir du niveau 6, vous pouvez utiliser votre Canalisation d'énergie divine deux fois entre deux repos, et à partir du niveau 18, vous pouvez l'utiliser trois fois entre deux repos. Lorsque vous terminez un repos court ou long, vous regagnez vos utilisations dépensées."
  }</v>
      </c>
    </row>
    <row r="79" spans="1:9">
      <c r="A79" s="75" t="s">
        <v>243</v>
      </c>
      <c r="B79" s="18"/>
      <c r="C79" s="258" t="s">
        <v>3355</v>
      </c>
      <c r="D79" s="258"/>
      <c r="E79" s="258"/>
      <c r="F79" s="258"/>
      <c r="G79" s="18">
        <v>-1</v>
      </c>
      <c r="H79" s="251" t="s">
        <v>3356</v>
      </c>
      <c r="I79" t="str">
        <f t="shared" si="1"/>
        <v>"CLERK-Canalisation d’énergie divine : renvoi des morts-vivants":  {
 "Code" : "Canalisation d’énergie divine : renvoi des morts-vivants",
 "Class" : "CLERK",
 "Specialisation" : "","UseNumber" : -1,
 "Description" : "Au prix d'une action, vous présentez votre symbole sacré en psalmodiant une prière contre les morts-vivants. Chaque mort-vivant qui peut vous voir ou vous entendre et qui se trouve à 9 mètres ou moins de vous doit effectuer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utiliser de réactions et peut utiliser ses actions seulement pour Foncer ou essayer de s'échapper d'un effet immobilisant. S'il n'y a nulle part où aller, la créature peut utiliser l'action Esquiver."
  }</v>
      </c>
    </row>
    <row r="80" spans="1:9">
      <c r="A80" s="75" t="s">
        <v>243</v>
      </c>
      <c r="B80" s="18"/>
      <c r="C80" s="258" t="s">
        <v>2827</v>
      </c>
      <c r="D80" s="258" t="s">
        <v>2807</v>
      </c>
      <c r="E80" s="258"/>
      <c r="F80" s="258"/>
      <c r="G80" s="18"/>
      <c r="H80" s="251" t="s">
        <v>3894</v>
      </c>
      <c r="I80" t="str">
        <f t="shared" si="1"/>
        <v>"CLERK-Domaine divin":  {
 "Code" : "Domaine divin",
 "Class" : "CLERK",
 "Specialisation" : "","Stats" : true,
 "Description" : "Choisissez un domaine lié à votre divinité : duperie, guerre, lumière, nature, savoir, tempête ou vie. Votre choix vous accorde des sorts de domaine et des capacités spéciales dès le niveau 1, puis de nouvelles aux niveaux 6, 8 et 17. Il vous octroie également des manières supplémentaires pour utiliser la Canalisation d’énergie divine du niveau 2."
  }</v>
      </c>
    </row>
    <row r="81" spans="1:9">
      <c r="A81" s="75" t="s">
        <v>243</v>
      </c>
      <c r="B81" s="18"/>
      <c r="C81" s="258" t="s">
        <v>167</v>
      </c>
      <c r="D81" s="258" t="s">
        <v>2807</v>
      </c>
      <c r="E81" s="258"/>
      <c r="F81" s="258"/>
      <c r="G81" s="18"/>
      <c r="H81" s="260" t="s">
        <v>191</v>
      </c>
      <c r="I81" t="str">
        <f t="shared" si="1"/>
        <v>"CLERK-Amélioration de caractéristiques":  {
 "Code" : "Amélioration de caractéristiques",
 "Class" : "CLERK",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82" spans="1:9">
      <c r="A82" s="75" t="s">
        <v>243</v>
      </c>
      <c r="B82" s="18"/>
      <c r="C82" s="258" t="s">
        <v>3357</v>
      </c>
      <c r="D82" s="258"/>
      <c r="E82" s="258"/>
      <c r="F82" s="258"/>
      <c r="G82" s="18">
        <v>-1</v>
      </c>
      <c r="H82" s="251" t="s">
        <v>3358</v>
      </c>
      <c r="I82" t="str">
        <f t="shared" si="1"/>
        <v>"CLERK-Destruction des morts-vivants":  {
 "Code" : "Destruction des morts-vivants",
 "Class" : "CLERK",
 "Specialisation" : "","UseNumber" : -1,
 "Description" : "À partir du niveau 5, quand un mort-vivant rate son jet de sauvegarde contre votre capacité de Renvoi des morts-vivants, la créature est immédiatement détruite si son FP est égal ou inférieur à un certain seuil, comme indiqué dans le tableau ci-dessous. Niveau de clerc 5 : FP des morts-vivants détruits 1/2 ou moins Niveau de clerc 8 : FP des morts-vivants détruits 1 ou moins Niveau de clerc 11 : FP des morts-vivants détruits 2 ou moins Niveau de clerc 14 : FP des morts-vivants détruits 3 ou moins Niveau de clerc 17 : FP des morts-vivants détruits 4 ou moins"
  }</v>
      </c>
    </row>
    <row r="83" spans="1:9">
      <c r="A83" s="274" t="s">
        <v>243</v>
      </c>
      <c r="B83" s="270"/>
      <c r="C83" s="272" t="s">
        <v>3359</v>
      </c>
      <c r="D83" s="272"/>
      <c r="E83" s="272"/>
      <c r="F83" s="272"/>
      <c r="G83" s="18">
        <v>-1</v>
      </c>
      <c r="H83" s="271" t="s">
        <v>3360</v>
      </c>
      <c r="I83" t="str">
        <f t="shared" si="1"/>
        <v>"CLERK-Intervention divine":  {
 "Code" : "Intervention divine",
 "Class" : "CLERK",
 "Specialisation" : "","UseNumber" : -1,
 "Description" : "À partir du niveau 10, vous pouvez faire appel à votre divinité pour qu'elle intervienne en cas de besoin réel. Implorer l'aide de votre divinité vous oblige à utiliser votre action. Décrivez l'aide que vous recherchez, et lancez 1d100. Si vous obtenez un nombre égal ou inférieur à votre niveau de clerc, votre divinité intervient. Le MD choisit la nature de l'intervention ; l'effet d'un sort de clerc ou d'un sort de domaine est approprié. Si votre divinité intervient, vous ne pouvez plus utiliser cette capacité durant les 7 prochains jours. Dans le cas contraire, vous pouvez l'utiliser à nouveau après avoir terminé un repos long.  Au niveau 20, l'appel à votre divinité réussit automatiquement ; aucun jet n'est nécessaire."
  }</v>
      </c>
    </row>
    <row r="84" spans="1:9">
      <c r="A84" s="75" t="s">
        <v>243</v>
      </c>
      <c r="B84" s="55" t="s">
        <v>2853</v>
      </c>
      <c r="C84" s="258" t="s">
        <v>3361</v>
      </c>
      <c r="D84" s="258"/>
      <c r="E84" s="258"/>
      <c r="F84" s="258"/>
      <c r="G84" s="18">
        <v>-1</v>
      </c>
      <c r="H84" s="261" t="s">
        <v>3362</v>
      </c>
      <c r="I84" t="str">
        <f t="shared" si="1"/>
        <v>"DECEPTION_FIELD-Bénédiction de l'escroc":  {
 "Code" : "Bénédiction de l'escroc",
 "Class" : "CLERK",
 "Specialisation" : "DECEPTION_FIELD","UseNumber" : -1,
 "Description" : "À partir du niveau 1, vous pouvez utiliser votre action pour toucher une créature consentante (autre que vous-même) et lui donner un avantage aux jets de Dextérité (Discrétion). Cette bénédiction dure pendant 1 heure, ou jusqu'à ce que vous utilisiez cette capacité à nouveau."
  }</v>
      </c>
    </row>
    <row r="85" spans="1:9">
      <c r="A85" s="75" t="s">
        <v>243</v>
      </c>
      <c r="B85" s="55" t="s">
        <v>2853</v>
      </c>
      <c r="C85" s="258" t="s">
        <v>3363</v>
      </c>
      <c r="D85" s="258"/>
      <c r="E85" s="258"/>
      <c r="F85" s="258"/>
      <c r="G85" s="18">
        <v>-1</v>
      </c>
      <c r="H85" s="261" t="s">
        <v>3364</v>
      </c>
      <c r="I85" t="str">
        <f t="shared" si="1"/>
        <v>"DECEPTION_FIELD-Canalisation d’énergie divine : invocation de duplicata":  {
 "Code" : "Canalisation d’énergie divine : invocation de duplicata",
 "Class" : "CLERK",
 "Specialisation" : "DECEPTION_FIELD","UseNumber" : -1,
 "Description" : "À partir du niveau 2, vous pouvez utiliser votre Canalisation d'énergie divine pour créer une copie illusoire de vous-même. Par une action, vous créez une illusion parfaite de vous-même qui dure pendant 1 minute, ou jusqu'à ce que vous perdiez votre concentration (comme si vous étiez concentré sur un sort). L'illusion apparaît dans un espace inoccupé que vous pouvez voir dans un rayon de 9 mètres autour de vous. Par une action bonus à votre tour, vous pouvez déplacer l'illusion jusqu'à 9 mètres, dans un espace que vous pouvez, et sans l'éloigner de plus de 36 mètres de vous. Durant ce temps, vous pouvez lancer des sorts comme si vous étiez dans l'espace de l'illusion, mais vous devez utiliser vos propres sens. En outre, lorsque vous et votre illusion êtes à 1,50 mètre ou moins d'une créature qui peut voir l'illusion, vous avez l'avantage aux jets d'attaque contre cette créature, l'illusion distrayant la cible."
  }</v>
      </c>
    </row>
    <row r="86" spans="1:9">
      <c r="A86" s="75" t="s">
        <v>243</v>
      </c>
      <c r="B86" s="55" t="s">
        <v>2853</v>
      </c>
      <c r="C86" s="258" t="s">
        <v>3365</v>
      </c>
      <c r="D86" s="258"/>
      <c r="E86" s="258"/>
      <c r="F86" s="258"/>
      <c r="G86" s="18">
        <v>-1</v>
      </c>
      <c r="H86" s="261" t="s">
        <v>3366</v>
      </c>
      <c r="I86" t="str">
        <f t="shared" si="1"/>
        <v>"DECEPTION_FIELD-Canalisation d’énergie divine : linceul d'ombre":  {
 "Code" : "Canalisation d’énergie divine : linceul d'ombre",
 "Class" : "CLERK",
 "Specialisation" : "DECEPTION_FIELD","UseNumber" : -1,
 "Description" : "À partir du niveau 6, vous pouvez utiliser votre Canalisation d'énergie divine pour disparaître. Par une action, vous devenez invisible jusqu'à la fin de votre prochain tour. Vous redevenez visible si vous attaquez ou lancez un sort."
  }</v>
      </c>
    </row>
    <row r="87" spans="1:9">
      <c r="A87" s="75" t="s">
        <v>243</v>
      </c>
      <c r="B87" s="55" t="s">
        <v>2853</v>
      </c>
      <c r="C87" s="258" t="s">
        <v>3367</v>
      </c>
      <c r="D87" s="258"/>
      <c r="E87" s="258"/>
      <c r="F87" s="258"/>
      <c r="G87" s="18">
        <v>-1</v>
      </c>
      <c r="H87" s="261" t="s">
        <v>3368</v>
      </c>
      <c r="I87" t="str">
        <f t="shared" si="1"/>
        <v>"DECEPTION_FIELD-Frappe divine":  {
 "Code" : "Frappe divine",
 "Class" : "CLERK",
 "Specialisation" : "DECEPTION_FIELD","UseNumber" : -1,
 "Description" : "Au niveau 8, vous gagnez la possibilité d’imprégner votre arme de poison, un cadeau de votre divinité. Une fois à chacun de vos tours, lorsque vous touchez une créature avec une attaque d'arme, vous pouvez infliger 1d8 dégâts de poison supplémentaires. Lorsque vous atteignez le niveau 14, les dégâts supplémentaires passent à 2d8."
  }</v>
      </c>
    </row>
    <row r="88" spans="1:9">
      <c r="A88" s="274" t="s">
        <v>243</v>
      </c>
      <c r="B88" s="275" t="s">
        <v>2853</v>
      </c>
      <c r="C88" s="272" t="s">
        <v>3369</v>
      </c>
      <c r="D88" s="272"/>
      <c r="E88" s="272"/>
      <c r="F88" s="272"/>
      <c r="G88" s="18">
        <v>-1</v>
      </c>
      <c r="H88" s="273" t="s">
        <v>3370</v>
      </c>
      <c r="I88" t="str">
        <f t="shared" si="1"/>
        <v>"DECEPTION_FIELD-Duplicata amélioré":  {
 "Code" : "Duplicata amélioré",
 "Class" : "CLERK",
 "Specialisation" : "DECEPTION_FIELD","UseNumber" : -1,
 "Description" : "Au niveau 17, vous pouvez créer jusqu'à quatre doublons de vous-même, au lieu d'un, lorsque vous utilisez Invocation de duplicata. Par une action bonus à votre tour, vous pouvez déplacer un certain nombre d'entre eux jusqu'à 9 mètres, et sans les éloigner de plus de 36 mètres de vous."
  }</v>
      </c>
    </row>
    <row r="89" spans="1:9">
      <c r="A89" s="75" t="s">
        <v>243</v>
      </c>
      <c r="B89" s="55" t="s">
        <v>2854</v>
      </c>
      <c r="C89" s="258" t="s">
        <v>3333</v>
      </c>
      <c r="D89" s="258" t="s">
        <v>2807</v>
      </c>
      <c r="E89" s="258"/>
      <c r="F89" s="258"/>
      <c r="G89" s="18"/>
      <c r="H89" s="261" t="s">
        <v>3371</v>
      </c>
      <c r="I89" t="str">
        <f t="shared" si="1"/>
        <v>"WAR_FIELD-Maîtrises supplémentaires":  {
 "Code" : "Maîtrises supplémentaires",
 "Class" : "CLERK",
 "Specialisation" : "WAR_FIELD","Stats" : true,
 "Description" : "Au niveau 1, vous gagnez la maîtrise des armes de guerres et des armures lourdes."
  }</v>
      </c>
    </row>
    <row r="90" spans="1:9">
      <c r="A90" s="75" t="s">
        <v>243</v>
      </c>
      <c r="B90" s="55" t="s">
        <v>2854</v>
      </c>
      <c r="C90" s="258" t="s">
        <v>3372</v>
      </c>
      <c r="D90" s="258"/>
      <c r="E90" s="258"/>
      <c r="F90" s="258"/>
      <c r="G90" s="18">
        <v>-1</v>
      </c>
      <c r="H90" s="261" t="s">
        <v>3373</v>
      </c>
      <c r="I90" t="str">
        <f t="shared" si="1"/>
        <v>"WAR_FIELD-Prêtre de guerre":  {
 "Code" : "Prêtre de guerre",
 "Class" : "CLERK",
 "Specialisation" : "WAR_FIELD","UseNumber" : -1,
 "Description" : "À partir du niveau 1, votre dieu vous inspire lors des combats. Lorsque vous utilisez l’action Attaquer, vous pouvez faire une attaque avec une arme en tant qu’action bonus. Vous pouvez utiliser cette capacité un nombre de fois égal à votre modificateur de Sagesse (minimum 1). Vous regagnez les attaques utilisées à la fin d’un repos long."
  }</v>
      </c>
    </row>
    <row r="91" spans="1:9">
      <c r="A91" s="75" t="s">
        <v>243</v>
      </c>
      <c r="B91" s="55" t="s">
        <v>2854</v>
      </c>
      <c r="C91" s="258" t="s">
        <v>3374</v>
      </c>
      <c r="D91" s="258"/>
      <c r="E91" s="258"/>
      <c r="F91" s="258"/>
      <c r="G91" s="18">
        <v>-1</v>
      </c>
      <c r="H91" s="261" t="s">
        <v>3375</v>
      </c>
      <c r="I91" t="str">
        <f t="shared" si="1"/>
        <v>"WAR_FIELD-Canalisation d’énergie divine : frappe guidée":  {
 "Code" : "Canalisation d’énergie divine : frappe guidée",
 "Class" : "CLERK",
 "Specialisation" : "WAR_FIELD","UseNumber" : -1,
 "Description" : "À partir du niveau 2, vous pouvez utiliser votre Canalisation d'énergie divine pour frapper avec une grande précision. Lorsque vous faites un jet d’attaque, vous pouvez utilisez votre Canalisation d'énergie divine pour gagner un bonus de +10 au jet. Vous pouvez décider d’utiliser cette capacité après avoir vu le résultat du jet, mais avant que le MD ne vous en donne le résultat."
  }</v>
      </c>
    </row>
    <row r="92" spans="1:9">
      <c r="A92" s="75" t="s">
        <v>243</v>
      </c>
      <c r="B92" s="55" t="s">
        <v>2854</v>
      </c>
      <c r="C92" s="258" t="s">
        <v>3376</v>
      </c>
      <c r="D92" s="258"/>
      <c r="E92" s="258"/>
      <c r="F92" s="258"/>
      <c r="G92" s="18">
        <v>-1</v>
      </c>
      <c r="H92" s="261" t="s">
        <v>3377</v>
      </c>
      <c r="I92" t="str">
        <f t="shared" si="1"/>
        <v>"WAR_FIELD-Canalisation d’énergie divine : bénédiction du dieu de la guerre":  {
 "Code" : "Canalisation d’énergie divine : bénédiction du dieu de la guerre",
 "Class" : "CLERK",
 "Specialisation" : "WAR_FIELD","UseNumber" : -1,
 "Description" : "Au niveau 6, lorsqu'une créature dans un rayon de 9 mètres autour de vous fait un jet d’attaque, vous pouvez utiliser votre réaction pour faire bénéficier cette créature d’un bonus de +10 à son jet, en utilisant votre Canalisation d'énergie divine. Vous pouvez choisir d’utiliser cette compétence après avoir vu le résultat du jet, mais vous devez le faire avant que le MD ne dise si l’attaque a réussi ou échoué."
  }</v>
      </c>
    </row>
    <row r="93" spans="1:9">
      <c r="A93" s="75" t="s">
        <v>243</v>
      </c>
      <c r="B93" s="55" t="s">
        <v>2854</v>
      </c>
      <c r="C93" s="258" t="s">
        <v>3367</v>
      </c>
      <c r="D93" s="258"/>
      <c r="E93" s="258"/>
      <c r="F93" s="258"/>
      <c r="G93" s="18">
        <v>-1</v>
      </c>
      <c r="H93" s="261" t="s">
        <v>3378</v>
      </c>
      <c r="I93" t="str">
        <f t="shared" si="1"/>
        <v>"WAR_FIELD-Frappe divine":  {
 "Code" : "Frappe divine",
 "Class" : "CLERK",
 "Specialisation" : "WAR_FIELD","UseNumber" : -1,
 "Description" : "Au niveau 8, vous gagnez la possibilité d’imprégner votre arme d’énergie divine. Une fois à chacun de vos tours, lorsque vous touchez une créature avec une attaque d'arme, vous pouvez infliger 1d8 dégâts supplémentaires du même type que celui de votre arme. Lorsque vous atteignez le niveau 14, les dégâts supplémentaires passent à 2d8."
  }</v>
      </c>
    </row>
    <row r="94" spans="1:9">
      <c r="A94" s="274" t="s">
        <v>243</v>
      </c>
      <c r="B94" s="275" t="s">
        <v>2854</v>
      </c>
      <c r="C94" s="272" t="s">
        <v>3379</v>
      </c>
      <c r="D94" s="272"/>
      <c r="E94" s="272"/>
      <c r="F94" s="272"/>
      <c r="G94" s="18">
        <v>-1</v>
      </c>
      <c r="H94" s="273" t="s">
        <v>3380</v>
      </c>
      <c r="I94" t="str">
        <f t="shared" si="1"/>
        <v>"WAR_FIELD-Avatar de bataille":  {
 "Code" : "Avatar de bataille",
 "Class" : "CLERK",
 "Specialisation" : "WAR_FIELD","UseNumber" : -1,
 "Description" : "Au niveau 17, vous obtenez la résistance aux dégâts contondants, perforants et tranchants de toute arme non magique."
  }</v>
      </c>
    </row>
    <row r="95" spans="1:9">
      <c r="A95" s="75" t="s">
        <v>243</v>
      </c>
      <c r="B95" s="55" t="s">
        <v>2855</v>
      </c>
      <c r="C95" s="258" t="s">
        <v>3381</v>
      </c>
      <c r="D95" s="258" t="s">
        <v>2807</v>
      </c>
      <c r="E95" s="258"/>
      <c r="F95" s="258"/>
      <c r="G95" s="18"/>
      <c r="H95" s="281" t="s">
        <v>3382</v>
      </c>
      <c r="I95" t="str">
        <f t="shared" si="1"/>
        <v>"LIGHT_FIELD-Sort mineur supplémentaire":  {
 "Code" : "Sort mineur supplémentaire",
 "Class" : "CLERK",
 "Specialisation" : "LIGHT_FIELD","Stats" : true,
 "Description" : "Lorsque vous choisissez ce domaine au niveau 1, vous gagnez le sort mineur lumière si vous ne le connaissez pas déjà."
  }</v>
      </c>
    </row>
    <row r="96" spans="1:9">
      <c r="A96" s="75" t="s">
        <v>243</v>
      </c>
      <c r="B96" s="55" t="s">
        <v>2855</v>
      </c>
      <c r="C96" s="258" t="s">
        <v>3383</v>
      </c>
      <c r="D96" s="258"/>
      <c r="E96" s="258"/>
      <c r="F96" s="258"/>
      <c r="G96" s="18">
        <v>-1</v>
      </c>
      <c r="H96" s="261" t="s">
        <v>3384</v>
      </c>
      <c r="I96" t="str">
        <f t="shared" si="1"/>
        <v>"LIGHT_FIELD-Illumination protectrice":  {
 "Code" : "Illumination protectrice",
 "Class" : "CLERK",
 "Specialisation" : "LIGHT_FIELD","UseNumber" : -1,
 "Description" : "Au niveau 1, vous pouvez interposer une lumière divine entre vous et un ennemi qui attaque. Lorsque vous êtes attaqué par une créature située à 9 mètres ou moins de vous et que vous pouvez voir, vous pouvez utiliser votre réaction pour imposer un désavantage à son jet d'attaque, en faisant éclater une lumière avant qu'il touche ou rate. Un attaquant qui ne peut pas être aveuglé est immunisé face à cette capacité. Vous pouvez utiliser cette capacité un nombre de fois égal à votre modificateur de Sagesse (minimum une fois). Vous en retrouver toutes les utilisations dépensées lorsque vous terminez un repos long."
  }</v>
      </c>
    </row>
    <row r="97" spans="1:9">
      <c r="A97" s="75" t="s">
        <v>243</v>
      </c>
      <c r="B97" s="55" t="s">
        <v>2855</v>
      </c>
      <c r="C97" s="258" t="s">
        <v>3385</v>
      </c>
      <c r="D97" s="258"/>
      <c r="E97" s="258"/>
      <c r="F97" s="258"/>
      <c r="G97" s="18">
        <v>-1</v>
      </c>
      <c r="H97" s="261" t="s">
        <v>3386</v>
      </c>
      <c r="I97" t="str">
        <f t="shared" si="1"/>
        <v>"LIGHT_FIELD-Canalisation d’énergie divine : radiance de l'aube":  {
 "Code" : "Canalisation d’énergie divine : radiance de l'aube",
 "Class" : "CLERK",
 "Specialisation" : "LIGHT_FIELD","UseNumber" : -1,
 "Description" : "À partir du niveau 2, vous pouvez utiliser votre Canalisation d'énergie divine pour exploiter la lumière du soleil, bannissant les ténèbres et infligeant des dégâts radiants à vos ennemis. Par une action, vous présentez votre symbole sacré et toutes les ténèbres magiques dans un rayon de 9 mètres autour de vous sont dissipées. En outre, chaque créature hostile dans un rayon de 9 mètres autour de vous doit réaliser un jet de sauvegarde de Constitution. Une créature prend 2d10 + votre niveau de clerc dégâts radiants en cas d'échec, ou la moitié de ces dégâts en cas de réussite. Une créature qui dispose d'une couverture totale vis à vis de vous n'est pas affectée."
  }</v>
      </c>
    </row>
    <row r="98" spans="1:9">
      <c r="A98" s="75" t="s">
        <v>243</v>
      </c>
      <c r="B98" s="55" t="s">
        <v>2855</v>
      </c>
      <c r="C98" s="258" t="s">
        <v>3387</v>
      </c>
      <c r="D98" s="258"/>
      <c r="E98" s="258"/>
      <c r="F98" s="258"/>
      <c r="G98" s="18">
        <v>-1</v>
      </c>
      <c r="H98" s="261" t="s">
        <v>3388</v>
      </c>
      <c r="I98" t="str">
        <f t="shared" si="1"/>
        <v>"LIGHT_FIELD-Illumination améliorée":  {
 "Code" : "Illumination améliorée",
 "Class" : "CLERK",
 "Specialisation" : "LIGHT_FIELD","UseNumber" : -1,
 "Description" : "À partir du niveau 6, vous pouvez également utiliser votre capacité de Illumination protectrice quand une créature que vous pouvez voir et située à 9 mètres ou moins de vous attaque une créature autre que vous-même."
  }</v>
      </c>
    </row>
    <row r="99" spans="1:9">
      <c r="A99" s="75" t="s">
        <v>243</v>
      </c>
      <c r="B99" s="55" t="s">
        <v>2855</v>
      </c>
      <c r="C99" s="258" t="s">
        <v>3389</v>
      </c>
      <c r="D99" s="258"/>
      <c r="E99" s="258"/>
      <c r="F99" s="258"/>
      <c r="G99" s="18">
        <v>-1</v>
      </c>
      <c r="H99" s="261" t="s">
        <v>3390</v>
      </c>
      <c r="I99" t="str">
        <f t="shared" si="1"/>
        <v>"LIGHT_FIELD-Incantation puissante":  {
 "Code" : "Incantation puissante",
 "Class" : "CLERK",
 "Specialisation" : "LIGHT_FIELD","UseNumber" : -1,
 "Description" : "À partir du niveau 8, vous ajoutez votre modificateur de Sagesse aux dégâts que vous infligez avec n'importe quel sort mineur de clerc."
  }</v>
      </c>
    </row>
    <row r="100" spans="1:9">
      <c r="A100" s="274" t="s">
        <v>243</v>
      </c>
      <c r="B100" s="275" t="s">
        <v>2855</v>
      </c>
      <c r="C100" s="272" t="s">
        <v>3391</v>
      </c>
      <c r="D100" s="272"/>
      <c r="E100" s="272"/>
      <c r="F100" s="272"/>
      <c r="G100" s="18">
        <v>-1</v>
      </c>
      <c r="H100" s="273" t="s">
        <v>3392</v>
      </c>
      <c r="I100" t="str">
        <f t="shared" si="1"/>
        <v>"LIGHT_FIELD-Halo de lumière":  {
 "Code" : "Halo de lumière",
 "Class" : "CLERK",
 "Specialisation" : "LIGHT_FIELD","UseNumber" : -1,
 "Description" : "À partir du niveau 17, vous pouvez utiliser votre action pour activer une aura de lumière du soleil qui dure pendant 1 minute, ou jusqu'à ce que vous la rejetiez à l'aide d'une autre action. Vous émettez une lumière vive dans un rayon de 18 mètres, et une lumière faible sur 9 mètres supplémentaires. Vos ennemis dans la zone de lumière vive ont un désavantage aux jets de sauvegarde contre tout sort qui inflige des dégâts de feu ou des dégâts radiants."
  }</v>
      </c>
    </row>
    <row r="101" spans="1:9">
      <c r="A101" s="75" t="s">
        <v>243</v>
      </c>
      <c r="B101" s="55" t="s">
        <v>2856</v>
      </c>
      <c r="C101" s="258" t="s">
        <v>3393</v>
      </c>
      <c r="D101" s="258" t="s">
        <v>2807</v>
      </c>
      <c r="E101" s="258"/>
      <c r="F101" s="258"/>
      <c r="G101" s="18"/>
      <c r="H101" s="281" t="s">
        <v>3394</v>
      </c>
      <c r="I101" t="str">
        <f t="shared" si="1"/>
        <v>"NATURE_FIELD-Acolyte de la nature":  {
 "Code" : "Acolyte de la nature",
 "Class" : "CLERK",
 "Specialisation" : "NATURE_FIELD","Stats" : true,
 "Description" : "Au niveau 1, vous apprenez un sort mineur de druide de votre choix. Vous gagnez également la maîtrise d'une des compétences suivantes de votre choix : Dressage, Nature ou Survie."
  }</v>
      </c>
    </row>
    <row r="102" spans="1:9">
      <c r="A102" s="75" t="s">
        <v>243</v>
      </c>
      <c r="B102" s="55" t="s">
        <v>2856</v>
      </c>
      <c r="C102" s="258" t="s">
        <v>3395</v>
      </c>
      <c r="D102" s="258" t="s">
        <v>2807</v>
      </c>
      <c r="E102" s="258"/>
      <c r="F102" s="258"/>
      <c r="G102" s="18"/>
      <c r="H102" s="261" t="s">
        <v>3396</v>
      </c>
      <c r="I102" t="str">
        <f t="shared" si="1"/>
        <v>"NATURE_FIELD-Maîtrise supplémentaire":  {
 "Code" : "Maîtrise supplémentaire",
 "Class" : "CLERK",
 "Specialisation" : "NATURE_FIELD","Stats" : true,
 "Description" : "Au niveau 1 également, vous gagnez la maîtrise des armures lourdes."
  }</v>
      </c>
    </row>
    <row r="103" spans="1:9">
      <c r="A103" s="75" t="s">
        <v>243</v>
      </c>
      <c r="B103" s="55" t="s">
        <v>2856</v>
      </c>
      <c r="C103" s="258" t="s">
        <v>3397</v>
      </c>
      <c r="D103" s="258"/>
      <c r="E103" s="258"/>
      <c r="F103" s="258"/>
      <c r="G103" s="18">
        <v>-1</v>
      </c>
      <c r="H103" s="261" t="s">
        <v>3398</v>
      </c>
      <c r="I103" t="str">
        <f t="shared" si="1"/>
        <v>"NATURE_FIELD-Canalisation d’énergie divine : charme des animaux et des plantes":  {
 "Code" : "Canalisation d’énergie divine : charme des animaux et des plantes",
 "Class" : "CLERK",
 "Specialisation" : "NATURE_FIELD","UseNumber" : -1,
 "Description" : "À partir du niveau 2, vous pouvez utiliser votre Canalisation d'énergie divine pour charmer des animaux et de plantes. Par une action, vous présentez votre symbole sacré et invoquez le nom de votre divinité. Chaque créature du type bête ou plante qui peut vous voir et qui se situe dans un rayon de 9 mètres autour de vous doit réaliser un jet de sauvegarde de Sagesse. Si la créature rate son jet de sauvegarde, vous la charmez pendant 1 minute, ou jusqu'à ce qu'elle subisse des dégâts. Tant que vous la charmez, elle est amicale envers vous et toutes autres créatures que vous désignez."
  }</v>
      </c>
    </row>
    <row r="104" spans="1:9">
      <c r="A104" s="75" t="s">
        <v>243</v>
      </c>
      <c r="B104" s="55" t="s">
        <v>2856</v>
      </c>
      <c r="C104" s="258" t="s">
        <v>3399</v>
      </c>
      <c r="D104" s="258"/>
      <c r="E104" s="258"/>
      <c r="F104" s="258"/>
      <c r="G104" s="18">
        <v>-1</v>
      </c>
      <c r="H104" s="261" t="s">
        <v>3400</v>
      </c>
      <c r="I104" t="str">
        <f t="shared" si="1"/>
        <v>"NATURE_FIELD-Atténuation des éléments":  {
 "Code" : "Atténuation des éléments",
 "Class" : "CLERK",
 "Specialisation" : "NATURE_FIELD","UseNumber" : -1,
 "Description" : "À partir du niveau 6, lorsque vous ou une créature située à 9 mètres ou moins de vous prend des dégâts d'acide, de froid, de feu, de foudre ou de tonnerre, vous pouvez utiliser votre réaction pour accorder à la créature une résistance à ce type de dégâts."
  }</v>
      </c>
    </row>
    <row r="105" spans="1:9">
      <c r="A105" s="75" t="s">
        <v>243</v>
      </c>
      <c r="B105" s="55" t="s">
        <v>2856</v>
      </c>
      <c r="C105" s="258" t="s">
        <v>3367</v>
      </c>
      <c r="D105" s="258"/>
      <c r="E105" s="258"/>
      <c r="F105" s="258"/>
      <c r="G105" s="18">
        <v>-1</v>
      </c>
      <c r="H105" s="261" t="s">
        <v>3401</v>
      </c>
      <c r="I105" t="str">
        <f t="shared" si="1"/>
        <v>"NATURE_FIELD-Frappe divine":  {
 "Code" : "Frappe divine",
 "Class" : "CLERK",
 "Specialisation" : "NATURE_FIELD","UseNumber" : -1,
 "Description" : "Au niveau 8, vous gagnez la possibilité d’imprégner votre arme d’énergie divine. Une fois à chacun de vos tours, lorsque vous touchez une créature avec une attaque d'arme, vous pouvez infliger 1d8 dégâts supplémentaires de froid, de feu ou de foudre (selon votre choix) à la cible. Lorsque vous atteignez le niveau 14, les dégâts supplémentaires passent à 2d8."
  }</v>
      </c>
    </row>
    <row r="106" spans="1:9">
      <c r="A106" s="274" t="s">
        <v>243</v>
      </c>
      <c r="B106" s="275" t="s">
        <v>2856</v>
      </c>
      <c r="C106" s="272" t="s">
        <v>3402</v>
      </c>
      <c r="D106" s="272"/>
      <c r="E106" s="272"/>
      <c r="F106" s="272"/>
      <c r="G106" s="18">
        <v>-1</v>
      </c>
      <c r="H106" s="273" t="s">
        <v>3403</v>
      </c>
      <c r="I106" t="str">
        <f t="shared" si="1"/>
        <v>"NATURE_FIELD-Maître de la nature":  {
 "Code" : "Maître de la nature",
 "Class" : "CLERK",
 "Specialisation" : "NATURE_FIELD","UseNumber" : -1,
 "Description" : "Au niveau 17, vous gagnez la possibilité de commander les animaux et les créatures végétales. Lorsque des créatures sont charmées par votre capacité de Charme des animaux et des plantes, vous pouvez utiliser une action bonus à votre tour pour commander verbalement ces créatures et leur indiquer ce qu'elles doivent faire durant leur prochain tour."
  }</v>
      </c>
    </row>
    <row r="107" spans="1:9">
      <c r="A107" s="75" t="s">
        <v>243</v>
      </c>
      <c r="B107" s="55" t="s">
        <v>2857</v>
      </c>
      <c r="C107" s="258" t="s">
        <v>3404</v>
      </c>
      <c r="D107" s="258" t="s">
        <v>2807</v>
      </c>
      <c r="E107" s="258"/>
      <c r="F107" s="258"/>
      <c r="G107" s="18"/>
      <c r="H107" s="261" t="s">
        <v>3405</v>
      </c>
      <c r="I107" t="str">
        <f t="shared" si="1"/>
        <v>"KNOWLEDGE_FIELD-Bénédictions du savoir":  {
 "Code" : "Bénédictions du savoir",
 "Class" : "CLERK",
 "Specialisation" : "KNOWLEDGE_FIELD","Stats" : true,
 "Description" : "Au niveau 1, vous apprenez deux langues de votre choix. Vous obtenez aussi la maîtrise de deux compétences de votre choix parmi les suivantes : Arcanes, Histoire, Nature ou Religion. Votre bonus de maîtrise est doublé pour les jets de caractéristiques utilisant une de ces compétences."
  }</v>
      </c>
    </row>
    <row r="108" spans="1:9">
      <c r="A108" s="75" t="s">
        <v>243</v>
      </c>
      <c r="B108" s="55" t="s">
        <v>2857</v>
      </c>
      <c r="C108" s="258" t="s">
        <v>3406</v>
      </c>
      <c r="D108" s="258"/>
      <c r="E108" s="258"/>
      <c r="F108" s="258"/>
      <c r="G108" s="18">
        <v>-1</v>
      </c>
      <c r="H108" s="261" t="s">
        <v>3407</v>
      </c>
      <c r="I108" t="str">
        <f t="shared" si="1"/>
        <v>"KNOWLEDGE_FIELD-Canalisation d’énergie divine : connaissances du passé":  {
 "Code" : "Canalisation d’énergie divine : connaissances du passé",
 "Class" : "CLERK",
 "Specialisation" : "KNOWLEDGE_FIELD","UseNumber" : -1,
 "Description" : "À partir du niveau 2, vous pouvez utiliser votre Canalisation d'énergie divine pour tirer profit d'un puits de connaissance divine. Au prix d’une action, vous choisissez une compétence ou un outil. Pendant 10 minutes, vous obtenez la maîtrise de la compétence ou de l'outil choisi."
  }</v>
      </c>
    </row>
    <row r="109" spans="1:9">
      <c r="A109" s="75" t="s">
        <v>243</v>
      </c>
      <c r="B109" s="55" t="s">
        <v>2857</v>
      </c>
      <c r="C109" s="258" t="s">
        <v>3408</v>
      </c>
      <c r="D109" s="258"/>
      <c r="E109" s="258"/>
      <c r="F109" s="258"/>
      <c r="G109" s="18">
        <v>-1</v>
      </c>
      <c r="H109" s="261" t="s">
        <v>3409</v>
      </c>
      <c r="I109" t="str">
        <f t="shared" si="1"/>
        <v>"KNOWLEDGE_FIELD-Canalisation d’énergie divine : lecture des pensées":  {
 "Code" : "Canalisation d’énergie divine : lecture des pensées",
 "Class" : "CLERK",
 "Specialisation" : "KNOWLEDGE_FIELD","UseNumber" : -1,
 "Description" : "Au niveau 6, vous pouvez utiliser votre Canalisation d'énergie divine pour lire les pensées d’une créature. Vous pouvez ensuite avoir accès à l’esprit de la créature et la commander. Par une action, choisissez une créature que vous pouvez voir située à 18 mètres ou moins de vous. La créature doit effectuer un jet de sauvegarde de Sagesse. Si la créature le réussi, vous ne pouvez réutiliser cette capacité sur la créature qu’après avoir terminé un repos long. Si la créature échoue, vous pouvez lire la surface de ses pensées (celles les plus en vue dans son esprit, représentant ses émotions et ce à quoi elle pense actuellement) lorsqu’elle est à 18 mètres ou moins de vous. Cet effet dure une minute. Pendant cette durée, vous pouvez utiliser votre action pour mettre fin à cet effet et lancer le sort suggestion à la créature sans consommer d’emplacement de sort. La créature échoue automatiquement son jet de sauvegarde contre ce sort."
  }</v>
      </c>
    </row>
    <row r="110" spans="1:9">
      <c r="A110" s="75" t="s">
        <v>243</v>
      </c>
      <c r="B110" s="55" t="s">
        <v>2857</v>
      </c>
      <c r="C110" s="258" t="s">
        <v>3389</v>
      </c>
      <c r="D110" s="258"/>
      <c r="E110" s="258"/>
      <c r="F110" s="258"/>
      <c r="G110" s="18">
        <v>-1</v>
      </c>
      <c r="H110" s="261" t="s">
        <v>3410</v>
      </c>
      <c r="I110" t="str">
        <f t="shared" si="1"/>
        <v>"KNOWLEDGE_FIELD-Incantation puissante":  {
 "Code" : "Incantation puissante",
 "Class" : "CLERK",
 "Specialisation" : "KNOWLEDGE_FIELD","UseNumber" : -1,
 "Description" : "À partir du niveau 8, vous ajoutez votre modificateur de Sagesse aux dégâts que vous infligez avec tous sorts mineurs de clerc."
  }</v>
      </c>
    </row>
    <row r="111" spans="1:9">
      <c r="A111" s="274" t="s">
        <v>243</v>
      </c>
      <c r="B111" s="275" t="s">
        <v>2857</v>
      </c>
      <c r="C111" s="276" t="s">
        <v>3411</v>
      </c>
      <c r="D111" s="276"/>
      <c r="E111" s="276"/>
      <c r="F111" s="276"/>
      <c r="G111" s="18">
        <v>-1</v>
      </c>
      <c r="H111" s="271" t="s">
        <v>3412</v>
      </c>
      <c r="I111" t="str">
        <f t="shared" si="1"/>
        <v>"KNOWLEDGE_FIELD-Visions du passé":  {
 "Code" : "Visions du passé",
 "Class" : "CLERK",
 "Specialisation" : "KNOWLEDGE_FIELD","UseNumber" : -1,
 "Description" : "À partir du niveau 17, vous pouvez rappeler les visions du passé en relation avec un objet que vous tenez, ou proche de vous. Vous passez au moins une minute à prier et à méditer, puis vous recevez sous forme de rêve de vagues aperçus des événements récents. Vous pouvez méditer de cette manière un nombre de minutes égal votre valeur de Sagesse et devez maintenir votre concentration comme pour lancer un sort. Une fois que vous avez utilisé cette capacité, vous ne pouvez plus l’utiliser jusqu’à ce vous terminiez un repos court ou long.  Lecture d'un objet. Si vous tenez un objet lorsque vous méditez, vous pouvez voir des visions de son précédent propriétaire. Après 1 minute de médiation, vous apprenez comment son propriétaire a acquis et perdu l’objet, ainsi que les événements importants les plus récents concernant cet objet et ce propriétaire. Si l’objet a appartenu à une autre créature dans un passé récent (un nombre de jours égal à votre valeur de Sagesse), vous pouvez passer 1 minute supplémentaire pour chaque possesseur de l’objet afin d’apprendre les mêmes informations sur ces créatures.  Lecture d'une zone. Pendant que vous méditez, vous observez des visions des environs proches (une salle, une rue, un tunnel, une clairière ou autre, d’une taille maximale d’un cube de 15 mètres d’arrête) jusqu'à un nombre de jours passés égal à votre valeur de Sagesse. Pour chaque minute passée à méditer, vous apprenez des informations sur un événement important, en commençant par le plus récent. Ces événements incluent de fortes émotions telles que des batailles ou des trahisons, mariages ou meurtres, naissances et funérailles. Cependant, ils peuvent aussi inclure des événements sans importance qui sont néanmoins important dans votre situation actuelle."
  }</v>
      </c>
    </row>
    <row r="112" spans="1:9">
      <c r="A112" s="75" t="s">
        <v>243</v>
      </c>
      <c r="B112" s="55" t="s">
        <v>2859</v>
      </c>
      <c r="C112" s="258" t="s">
        <v>3333</v>
      </c>
      <c r="D112" s="258" t="s">
        <v>2807</v>
      </c>
      <c r="E112" s="258"/>
      <c r="F112" s="258"/>
      <c r="G112" s="18"/>
      <c r="H112" s="261" t="s">
        <v>3371</v>
      </c>
      <c r="I112" t="str">
        <f t="shared" si="1"/>
        <v>"STORM_FIELD-Maîtrises supplémentaires":  {
 "Code" : "Maîtrises supplémentaires",
 "Class" : "CLERK",
 "Specialisation" : "STORM_FIELD","Stats" : true,
 "Description" : "Au niveau 1, vous gagnez la maîtrise des armes de guerres et des armures lourdes."
  }</v>
      </c>
    </row>
    <row r="113" spans="1:9">
      <c r="A113" s="75" t="s">
        <v>243</v>
      </c>
      <c r="B113" s="55" t="s">
        <v>2859</v>
      </c>
      <c r="C113" s="258" t="s">
        <v>3413</v>
      </c>
      <c r="D113" s="258"/>
      <c r="E113" s="258"/>
      <c r="F113" s="258"/>
      <c r="G113" s="18">
        <v>-1</v>
      </c>
      <c r="H113" s="261" t="s">
        <v>3414</v>
      </c>
      <c r="I113" t="str">
        <f t="shared" si="1"/>
        <v>"STORM_FIELD-Fureur de l'ouragan":  {
 "Code" : "Fureur de l'ouragan",
 "Class" : "CLERK",
 "Specialisation" : "STORM_FIELD","UseNumber" : -1,
 "Description" : "Au niveau 1 également, vous pouvez réprimander vos attaquants avec la puissance du tonnerre. Lorsqu’une créature que vous pouvez voir dans un rayon de 1,50 mètre autour de vous vous touche, vous pouvez utiliser votre réaction pour obliger l’attaquant à effectuer un jet de sauvegarde de Dextérité. En cas d’échec, la créature subit 2d8 dégâts de foudre ou de tonnerre (selon votre choix), ou la moitié en cas de réussite. Vous pouvez utiliser cette capacité un nombre de fois égal à votre modificateur de Sagesse (minimum 1). Vous regagnez toutes vos charges après un repos long."
  }</v>
      </c>
    </row>
    <row r="114" spans="1:9">
      <c r="A114" s="75" t="s">
        <v>243</v>
      </c>
      <c r="B114" s="55" t="s">
        <v>2859</v>
      </c>
      <c r="C114" s="258" t="s">
        <v>3415</v>
      </c>
      <c r="D114" s="258"/>
      <c r="E114" s="258"/>
      <c r="F114" s="258"/>
      <c r="G114" s="18">
        <v>-1</v>
      </c>
      <c r="H114" s="261" t="s">
        <v>3416</v>
      </c>
      <c r="I114" t="str">
        <f t="shared" si="1"/>
        <v>"STORM_FIELD-Canalisation d’énergie divine : colère destructrice":  {
 "Code" : "Canalisation d’énergie divine : colère destructrice",
 "Class" : "CLERK",
 "Specialisation" : "STORM_FIELD","UseNumber" : -1,
 "Description" : "A partir du niveau 2, vous pouvez utiliser votre Canalisation d'énergie divine pour manier la puissance de la tempête avec une férocité incontrôlée. Lorsque vous infligez des dégâts de foudre ou de tonnerre, vous pouvez utiliser votre Canalisation d'énergie divine pour effectuer des dégâts maximum au lieu de lancer des dés."
  }</v>
      </c>
    </row>
    <row r="115" spans="1:9">
      <c r="A115" s="75" t="s">
        <v>243</v>
      </c>
      <c r="B115" s="55" t="s">
        <v>2859</v>
      </c>
      <c r="C115" s="258" t="s">
        <v>3417</v>
      </c>
      <c r="D115" s="258"/>
      <c r="E115" s="258"/>
      <c r="F115" s="258"/>
      <c r="G115" s="18">
        <v>-1</v>
      </c>
      <c r="H115" s="261" t="s">
        <v>3418</v>
      </c>
      <c r="I115" t="str">
        <f t="shared" si="1"/>
        <v>"STORM_FIELD-Frappe de l'éclair":  {
 "Code" : "Frappe de l'éclair",
 "Class" : "CLERK",
 "Specialisation" : "STORM_FIELD","UseNumber" : -1,
 "Description" : "Au niveau 6, lorsque vous infligez des dégâts de foudre à une créature de taille G ou inférieure, vous pouvez également la repousser à 3 mètres de vous."
  }</v>
      </c>
    </row>
    <row r="116" spans="1:9">
      <c r="A116" s="75" t="s">
        <v>243</v>
      </c>
      <c r="B116" s="55" t="s">
        <v>2859</v>
      </c>
      <c r="C116" s="258" t="s">
        <v>3367</v>
      </c>
      <c r="D116" s="258"/>
      <c r="E116" s="258"/>
      <c r="F116" s="258"/>
      <c r="G116" s="18">
        <v>-1</v>
      </c>
      <c r="H116" s="261" t="s">
        <v>3419</v>
      </c>
      <c r="I116" t="str">
        <f t="shared" si="1"/>
        <v>"STORM_FIELD-Frappe divine":  {
 "Code" : "Frappe divine",
 "Class" : "CLERK",
 "Specialisation" : "STORM_FIELD","UseNumber" : -1,
 "Description" : "Au niveau 8, vous gagnez la possibilité d’imprégner votre arme d’énergie divine. Une fois à chacun de vos tours, lorsque vous touchez une créature avec une attaque d'arme, vous pouvez infliger 1d8 dégâts de tonnerre supplémentaires. Lorsque vous atteignez le niveau 14, les dégâts supplémentaires passent à 2d8."
  }</v>
      </c>
    </row>
    <row r="117" spans="1:9">
      <c r="A117" s="274" t="s">
        <v>243</v>
      </c>
      <c r="B117" s="275" t="s">
        <v>2859</v>
      </c>
      <c r="C117" s="272" t="s">
        <v>3420</v>
      </c>
      <c r="D117" s="272"/>
      <c r="E117" s="272"/>
      <c r="F117" s="272"/>
      <c r="G117" s="18">
        <v>-1</v>
      </c>
      <c r="H117" s="273" t="s">
        <v>3421</v>
      </c>
      <c r="I117" t="str">
        <f t="shared" si="1"/>
        <v>"STORM_FIELD-Fils de la tempête":  {
 "Code" : "Fils de la tempête",
 "Class" : "CLERK",
 "Specialisation" : "STORM_FIELD","UseNumber" : -1,
 "Description" : "Au niveau 17, vous obtenez une vitesse de vol égale à votre vitesse de déplacement tant que vous n’êtes ni sous terre, ni dans un intérieur."
  }</v>
      </c>
    </row>
    <row r="118" spans="1:9">
      <c r="A118" s="75" t="s">
        <v>243</v>
      </c>
      <c r="B118" s="55" t="s">
        <v>2860</v>
      </c>
      <c r="C118" s="258" t="s">
        <v>3395</v>
      </c>
      <c r="D118" s="258" t="s">
        <v>2807</v>
      </c>
      <c r="E118" s="258"/>
      <c r="F118" s="258"/>
      <c r="G118" s="18"/>
      <c r="H118" s="261" t="s">
        <v>3422</v>
      </c>
      <c r="I118" t="str">
        <f t="shared" si="1"/>
        <v>"LIFE_FIELD-Maîtrise supplémentaire":  {
 "Code" : "Maîtrise supplémentaire",
 "Class" : "CLERK",
 "Specialisation" : "LIFE_FIELD","Stats" : true,
 "Description" : "Lorsque vous choisissez ce domaine, au niveau 1, vous gagnez la maîtrise des armures lourdes."
  }</v>
      </c>
    </row>
    <row r="119" spans="1:9">
      <c r="A119" s="75" t="s">
        <v>243</v>
      </c>
      <c r="B119" s="55" t="s">
        <v>2860</v>
      </c>
      <c r="C119" s="258" t="s">
        <v>3423</v>
      </c>
      <c r="D119" s="258"/>
      <c r="E119" s="258"/>
      <c r="F119" s="258"/>
      <c r="G119" s="18">
        <v>-1</v>
      </c>
      <c r="H119" s="261" t="s">
        <v>3424</v>
      </c>
      <c r="I119" t="str">
        <f t="shared" si="1"/>
        <v>"LIFE_FIELD-Disciple de la vie":  {
 "Code" : "Disciple de la vie",
 "Class" : "CLERK",
 "Specialisation" : "LIFE_FIELD","UseNumber" : -1,
 "Description" : "À partir du niveau 1, vos sorts de soins sont plus efficaces. Chaque fois que vous utilisez un sort de niveau 1 ou supérieur pour redonner des points de vie à une créature, la créature regagne un nombre de points de vie additionnel égal à 2 + le niveau du sort."
  }</v>
      </c>
    </row>
    <row r="120" spans="1:9">
      <c r="A120" s="75" t="s">
        <v>243</v>
      </c>
      <c r="B120" s="55" t="s">
        <v>2860</v>
      </c>
      <c r="C120" s="258" t="s">
        <v>3425</v>
      </c>
      <c r="D120" s="258"/>
      <c r="E120" s="258"/>
      <c r="F120" s="258"/>
      <c r="G120" s="18">
        <v>-1</v>
      </c>
      <c r="H120" s="261" t="s">
        <v>3426</v>
      </c>
      <c r="I120" t="str">
        <f t="shared" si="1"/>
        <v>"LIFE_FIELD-Canalisation d’énergie divine : préservation de la vie":  {
 "Code" : "Canalisation d’énergie divine : préservation de la vie",
 "Class" : "CLERK",
 "Specialisation" : "LIFE_FIELD","UseNumber" : -1,
 "Description" : "À partir du niveau 2, vous pouvez utiliser votre Canalisation d'énergie divine pour soigner des blessures graves. Au prix d'une action, vous présentez votre symbole sacré et invoquez une énergie curative qui redonne un montant de points de vie égal à 5 fois votre niveau de clerc. Choisissez une ou plusieurs créatures à 9 mètres ou moins de vous, et divisez ces points entre elles. Cette capacité ne peut pas ramener une créature à plus de 50% de ses points de vie maximums, et elle ne fonctionne pas sur les morts-vivants et les créatures artificielles."
  }</v>
      </c>
    </row>
    <row r="121" spans="1:9">
      <c r="A121" s="75" t="s">
        <v>243</v>
      </c>
      <c r="B121" s="55" t="s">
        <v>2860</v>
      </c>
      <c r="C121" s="258" t="s">
        <v>3427</v>
      </c>
      <c r="D121" s="258"/>
      <c r="E121" s="258"/>
      <c r="F121" s="258"/>
      <c r="G121" s="18">
        <v>-1</v>
      </c>
      <c r="H121" s="261" t="s">
        <v>3428</v>
      </c>
      <c r="I121" t="str">
        <f t="shared" si="1"/>
        <v>"LIFE_FIELD-Guérisseur béni":  {
 "Code" : "Guérisseur béni",
 "Class" : "CLERK",
 "Specialisation" : "LIFE_FIELD","UseNumber" : -1,
 "Description" : "À partir du niveau 6, les sorts de guérison que vous lancez sur les autres vous guérissent aussi. Lorsque vous lancez un sort de niveau 1 ou supérieur pour redonner des points de vie à une créature autre que vous-même, vous regagnez un nombre de points de vie égal à 2 + le niveau du sort."
  }</v>
      </c>
    </row>
    <row r="122" spans="1:9">
      <c r="A122" s="75" t="s">
        <v>243</v>
      </c>
      <c r="B122" s="55" t="s">
        <v>2860</v>
      </c>
      <c r="C122" s="258" t="s">
        <v>3367</v>
      </c>
      <c r="D122" s="258"/>
      <c r="E122" s="258"/>
      <c r="F122" s="258"/>
      <c r="G122" s="18">
        <v>-1</v>
      </c>
      <c r="H122" s="261" t="s">
        <v>3429</v>
      </c>
      <c r="I122" t="str">
        <f t="shared" si="1"/>
        <v>"LIFE_FIELD-Frappe divine":  {
 "Code" : "Frappe divine",
 "Class" : "CLERK",
 "Specialisation" : "LIFE_FIELD","UseNumber" : -1,
 "Description" : "À partir du niveau 8, vous gagnez la possibilité d’imprégner votre arme d'énergie divine. Une fois par tour, lorsque vous touchez une créature avec une attaque armée, vous pouvez infliger 1d8 dégâts radiants supplémentaires à la cible. Lorsque vous atteignez le niveau 14, les dégâts supplémentaires passent à 2d8."
  }</v>
      </c>
    </row>
    <row r="123" spans="1:9">
      <c r="A123" s="274" t="s">
        <v>243</v>
      </c>
      <c r="B123" s="275" t="s">
        <v>2860</v>
      </c>
      <c r="C123" s="272" t="s">
        <v>3430</v>
      </c>
      <c r="D123" s="272"/>
      <c r="E123" s="272"/>
      <c r="F123" s="272"/>
      <c r="G123" s="18">
        <v>-1</v>
      </c>
      <c r="H123" s="273" t="s">
        <v>3431</v>
      </c>
      <c r="I123" t="str">
        <f t="shared" si="1"/>
        <v>"LIFE_FIELD-Guérison suprême":  {
 "Code" : "Guérison suprême",
 "Class" : "CLERK",
 "Specialisation" : "LIFE_FIELD","UseNumber" : -1,
 "Description" : "À partir du niveau 17, quand vous auriez normalement dû lancer un ou plusieurs dés pour redonner des points de vie avec un sort, appliquez directement le maximum de chaque dé. Par exemple, au lieu de restaurer 2d6 points de vie à une créature, vous restaurez 12."
  }</v>
      </c>
    </row>
    <row r="124" spans="1:9">
      <c r="A124" s="75" t="s">
        <v>243</v>
      </c>
      <c r="B124" s="55" t="s">
        <v>2861</v>
      </c>
      <c r="C124" s="258" t="s">
        <v>3395</v>
      </c>
      <c r="D124" s="258" t="s">
        <v>2807</v>
      </c>
      <c r="E124" s="258"/>
      <c r="F124" s="258"/>
      <c r="G124" s="18"/>
      <c r="H124" s="261" t="s">
        <v>3432</v>
      </c>
      <c r="I124" t="str">
        <f t="shared" si="1"/>
        <v>"FORGE_FIELD-Maîtrise supplémentaire":  {
 "Code" : "Maîtrise supplémentaire",
 "Class" : "CLERK",
 "Specialisation" : "FORGE_FIELD","Stats" : true,
 "Description" : "Au niveau 1, vous gagnez la maîtrise des armures lourdes et des outils de forgeron."
  }</v>
      </c>
    </row>
    <row r="125" spans="1:9">
      <c r="A125" s="75" t="s">
        <v>243</v>
      </c>
      <c r="B125" s="55" t="s">
        <v>2861</v>
      </c>
      <c r="C125" s="258" t="s">
        <v>3433</v>
      </c>
      <c r="D125" s="258"/>
      <c r="E125" s="258"/>
      <c r="F125" s="258"/>
      <c r="G125" s="18">
        <v>-1</v>
      </c>
      <c r="H125" s="261" t="s">
        <v>3434</v>
      </c>
      <c r="I125" t="str">
        <f t="shared" si="1"/>
        <v>"FORGE_FIELD-Bénédiction de la forge":  {
 "Code" : "Bénédiction de la forge",
 "Class" : "CLERK",
 "Specialisation" : "FORGE_FIELD","UseNumber" : -1,
 "Description" : "Au niveau 1, vous gagnez la capacité d'imprégner une part de magie dans votre arme ou votre armure. À la fin d'un repos long, vous pouvez toucher un objet non magique qui est une armure ou une arme courante ou de guerre. Jusqu'à la fin de votre prochain repos long, si vous ne mourrez pas avant, l'objet devient un objet magique, accordant un bonus de +1 à la CA s'il s'agit d'une armure, ou +1 à l'attaque et aux dégâts si l'objet est une arme. Vous ne pouvez utiliser cette aptitude qu'une fois entre deux repos longs."
  }</v>
      </c>
    </row>
    <row r="126" spans="1:9">
      <c r="A126" s="75" t="s">
        <v>243</v>
      </c>
      <c r="B126" s="55" t="s">
        <v>2861</v>
      </c>
      <c r="C126" s="258" t="s">
        <v>3435</v>
      </c>
      <c r="D126" s="258"/>
      <c r="E126" s="258"/>
      <c r="F126" s="258"/>
      <c r="G126" s="18">
        <v>-1</v>
      </c>
      <c r="H126" s="251" t="s">
        <v>3436</v>
      </c>
      <c r="I126" t="str">
        <f t="shared" si="1"/>
        <v>"FORGE_FIELD-Canalisation d'énergie divine : bénédiction de l'artisan":  {
 "Code" : "Canalisation d'énergie divine : bénédiction de l'artisan",
 "Class" : "CLERK",
 "Specialisation" : "FORGE_FIELD","UseNumber" : -1,
 "Description" : "À partir du niveau 2, vous pouvez utiliser votre capacité de Canalisation d'énergie divine pour créer des objets simples.  Vous menez un rituel d'une heure qui crée un objet non-magique qui doit être composé en partie de métal : une arme courante ou de guerre, une armure, dix pièces de munitions, un ensemble d'outils ou un autre objet métallique (voir Équipement dans le Manuel des Joueurs pour des exemples d'objets). La création est terminée à la fin de l'heure et se forme dans un espace inoccupé de votre choix sur une surface dans un rayon de 1,50 mètre autour de vous. La chose que vous créez ne peut valoir plus de 100 po. Dans le cadre du rituel, vous devez utiliser du métal, des pièces ou autre, d'une valeur égale au prix de la création. Le métal se transforme irrémédiablement en la création à la fin du rituel, comme par magie, formant même les parties non métalliques de la création. Le rituel peut créer le doublon d'un élément non magique qui contient du métal, comme une clé, si vous possédez l'original pendant le rituel."
  }</v>
      </c>
    </row>
    <row r="127" spans="1:9">
      <c r="A127" s="75" t="s">
        <v>243</v>
      </c>
      <c r="B127" s="55" t="s">
        <v>2861</v>
      </c>
      <c r="C127" s="258" t="s">
        <v>3437</v>
      </c>
      <c r="D127" s="258"/>
      <c r="E127" s="258"/>
      <c r="F127" s="258"/>
      <c r="G127" s="18">
        <v>-1</v>
      </c>
      <c r="H127" s="251" t="s">
        <v>3438</v>
      </c>
      <c r="I127" t="str">
        <f t="shared" si="1"/>
        <v>"FORGE_FIELD-Âme de la forge":  {
 "Code" : "Âme de la forge",
 "Class" : "CLERK",
 "Specialisation" : "FORGE_FIELD","UseNumber" : -1,
 "Description" : "À partir du niveau 6, votre maîtrise de la forge vous octroie un certain nombre de capacités :  Vous gagnez la résistance aux dégâts de feu Vous gagnez un bonus de +1 à la CA lorsque vous portez une armure lourde"
  }</v>
      </c>
    </row>
    <row r="128" spans="1:9">
      <c r="A128" s="75" t="s">
        <v>243</v>
      </c>
      <c r="B128" s="55" t="s">
        <v>2861</v>
      </c>
      <c r="C128" s="258" t="s">
        <v>3367</v>
      </c>
      <c r="D128" s="258"/>
      <c r="E128" s="258"/>
      <c r="F128" s="258"/>
      <c r="G128" s="18">
        <v>-1</v>
      </c>
      <c r="H128" s="261" t="s">
        <v>3439</v>
      </c>
      <c r="I128" t="str">
        <f t="shared" si="1"/>
        <v>"FORGE_FIELD-Frappe divine":  {
 "Code" : "Frappe divine",
 "Class" : "CLERK",
 "Specialisation" : "FORGE_FIELD","UseNumber" : -1,
 "Description" : "Au niveau 8, vous gagnez la capacité d'imprégner votre arme de la puissance ardente de la forge. À chacun de vos tours, lorsque vous touchez une créature lors d'une attaque avec une arme, vous pouvez ajouter 1d8 dégâts de feu supplémentaires. À partir du niveau 14, ces dégâts supplémentaires passent à 2d8."
  }</v>
      </c>
    </row>
    <row r="129" spans="1:9">
      <c r="A129" s="179" t="s">
        <v>243</v>
      </c>
      <c r="B129" s="182" t="s">
        <v>2861</v>
      </c>
      <c r="C129" s="262" t="s">
        <v>3440</v>
      </c>
      <c r="D129" s="262"/>
      <c r="E129" s="262"/>
      <c r="F129" s="262"/>
      <c r="G129" s="18">
        <v>-1</v>
      </c>
      <c r="H129" s="255" t="s">
        <v>3441</v>
      </c>
      <c r="I129" t="str">
        <f t="shared" si="1"/>
        <v>"FORGE_FIELD-Saint de la forge et du feu":  {
 "Code" : "Saint de la forge et du feu",
 "Class" : "CLERK",
 "Specialisation" : "FORGE_FIELD","UseNumber" : -1,
 "Description" : "Au niveau 17, votre affinité pour le feu et le métal devient plus profonde : Vous gagnez l'immunité aux dégâts de feu Tant que vous portez une armure lourde, vous gagnez la résistance aux dégâts contondants, perforants et tranchants provoqués par des attaques non magiques."
  }</v>
      </c>
    </row>
    <row r="130" spans="1:9">
      <c r="A130" s="264" t="s">
        <v>244</v>
      </c>
      <c r="B130" s="161"/>
      <c r="C130" s="259" t="s">
        <v>3469</v>
      </c>
      <c r="D130" s="259"/>
      <c r="E130" s="259"/>
      <c r="F130" s="259"/>
      <c r="G130" s="18">
        <v>-1</v>
      </c>
      <c r="H130" s="250" t="s">
        <v>3470</v>
      </c>
      <c r="I130" t="str">
        <f t="shared" si="1"/>
        <v>"DRUID-Forme sauvage":  {
 "Code" : "Forme sauvage",
 "Class" : "DRUID",
 "Specialisation" : "","UseNumber" : -1,
 "Description" : "À partir du niveau 2, vous pouvez utiliser votre action pour prendre par magie la forme d'une bête que vous avez déjà vue auparavant. Vous pouvez utiliser ce pouvoir deux fois. Vous récupérez les utilisations dépensées après avoir effectué un repos court ou long.  Votre niveau de druide détermine le type de bêtes dont vous pouvez prendre l'apparence, comme indiqué dans la table ci-dessous. Au niveau 2, par exemple, vous pouvez vous transformer en n'importe quelle bête ayant un facteur de puissance de 1/4 ou inférieur et qui n'a ni vitesse de vol ni vitesse de nage.  Niv	FP max	Restrictions	                        Exemple 2	1/4	    Ni vitesse de vol, ni vitesse de nage	Loup 4	1/2	    Pas de vitesse de vol	                Crocodile 8	1	    -	                                    Aigle géant Vous pouvez rester sous forme animale un nombre d'heures égal à la moitié de votre niveau de druide (arrondi à l'entier inférieur). Une fois le temps écoulé, vous reprenez votre forme normale à moins que vous ne dépensiez une nouvelle utilisation de cette capacité. Vous pouvez également revenir plus tôt à votre forme normale en utilisant une action bonus lors de votre tour. Vous revenez automatiquement à votre forme normale si vous tombez inconscient, si vous tombez à 0 point de vie ou si vous mourrez. Tant que vous êtes transformé, les règles suivantes s'appliquent :  Vos statistiques de jeu sont remplacées par celles de la bête, mais vous conservez votre alignement, votre personnalité et vos valeurs de Charisme, Intelligence et Sagesse. Vous conservez également vos maîtrises de jets de sauvegarde et de compétences, en plus de gagner celles de la créature. Si la créature a les mêmes maîtrises que vous et que son bonus dans ce bloc de statistique est supérieur au vôtre, utilisez son bonus. Si la créature possède des actions légendaires ou des actions de repaire, vous ne pouvez pas les utiliser. Quand vous vous transformez, vous endossez également les points de vie de la bête et ses dés de vie. Lorsque vous reprenez votre forme vous récupérez le nombre de points de vie que vous aviez avant votre transformation. De plus, si vous vous retransformez parce que vous êtes tombé à 0 point de vie, tous les dégâts supplémentaires sont encaissés par les points de vie de votre forme normale. Par exemple, si vous subissez 10 points de dégâts sous forme animale alors que vous n'aviez plus qu'un point de vie, vous retournez à votre forme normale et encaissez 9 points de dégâts. Tant que ces dégâts résiduels ne font pas tomber les points de vie de votre forme normale à 0, vous ne sombrez pas dans l'inconscience. Vous ne pouvez pas lancer de sorts, et votre capacité à parler ou effectuer toute action qui nécessite des mains est limitée aux possibilités qu'offre votre forme animale. Toutefois, vous transformer ne brise pas votre concentration sur un sort que vous aviez déjà lancé, ni ne vous empêche d'utiliser une action pour rediriger un sort, comme le sort appel de la foudre, que vous auriez déjà lancé. Vous conservez les bénéfices de toutes vos capacités de classe, de race, ou de n'importe quelle autre origine, et vous pouvez les utiliser si vous en êtes physiquement capable. Cependant, vous ne pouvez pas utiliser de sens spéciaux, comme la vision dans le noir, sauf si votre forme animale les possède également. Vous choisissez si votre équipement tombe sur le sol, fusionne avec votre nouvelle forme ou est porté par votre nouvelle forme. L'équipement porté fonctionne correctement, mais le MD décide pour chaque pièce d'équipement s'il est possible pour votre nouvelle forme de la porter, en fonction de la morphologie et de la taille de la bête. Votre équipement ne change pas de taille ou de forme pour s'adapter à votre nouvelle forme, et tout l'équipement que la nouvelle forme ne peut pas porter tombe sur le sol ou fusionne avec vous. L'équipement qui fusionne avec la nouvelle forme n'a aucun effet tant que vous restez sous cette forme."
  }</v>
      </c>
    </row>
    <row r="131" spans="1:9">
      <c r="A131" s="75" t="s">
        <v>244</v>
      </c>
      <c r="B131" s="18"/>
      <c r="C131" s="258" t="s">
        <v>3896</v>
      </c>
      <c r="D131" s="258" t="s">
        <v>2807</v>
      </c>
      <c r="E131" s="258"/>
      <c r="F131" s="258"/>
      <c r="G131" s="18"/>
      <c r="H131" s="251" t="s">
        <v>3897</v>
      </c>
      <c r="I131" t="str">
        <f t="shared" ref="I131:I194" si="2">""""&amp;IF(ISBLANK(B131),A131,B131)&amp;"-"&amp;C131&amp;""":  {
 ""Code"" : """&amp;C131&amp;""",
 ""Class"" : """&amp;A131&amp;""",
 ""Specialisation"" : """&amp;B131&amp;""","
 &amp;IF(ISBLANK(D131),"", """Stats"" : "&amp;D131&amp;",")
 &amp;IF(ISBLANK(E131),"", """Auto"" : "&amp;E131&amp;",")
 &amp;IF(ISBLANK(G131),"", """UseNumber"" : "&amp;G131&amp;",")
 &amp;IF(ISBLANK(F131),"", """Special"" : "&amp;F131&amp;",")&amp;"
 ""Description"" : """&amp;SUBSTITUTE(H131,CHAR(10)," ")&amp;"""
  }"</f>
        <v>"DRUID-Druidique":  {
 "Code" : "Druidique",
 "Class" : "DRUID",
 "Specialisation" : "","Stats" : true,
 "Description" : "Vous connaissez le druidique, le langage secret des druides. Vous pouvez parler cette langue et l'utiliser pour laisser des messages secrets. Vous, et les autres personnes connaissant ce langage, remarquez automatiquement un tel message. Les autres personnages remarquent la présence du message s'ils réussissent un jet de Sagesse (Perception) DD 15 mais ne peuvent pas le déchiffrer sans utiliser la magie."
  }</v>
      </c>
    </row>
    <row r="132" spans="1:9">
      <c r="A132" s="75" t="s">
        <v>244</v>
      </c>
      <c r="B132" s="18"/>
      <c r="C132" s="258" t="s">
        <v>2828</v>
      </c>
      <c r="D132" s="258" t="s">
        <v>2807</v>
      </c>
      <c r="E132" s="258"/>
      <c r="F132" s="258"/>
      <c r="G132" s="18"/>
      <c r="H132" s="251" t="s">
        <v>3898</v>
      </c>
      <c r="I132" t="str">
        <f t="shared" si="2"/>
        <v>"DRUID-Cercle druidique":  {
 "Code" : "Cercle druidique",
 "Class" : "DRUID",
 "Specialisation" : "","Stats" : true,
 "Description" : "Au niveau 2, vous devez choisir à quel cercle de druide vous appartenez : le cercle de la terre ou le cercle de la lune, chacun étant détaillé plus bas. Votre choix vous confère de nouvelles capacités aux niveaux 2, puis 6, 10, et 14."
  }</v>
      </c>
    </row>
    <row r="133" spans="1:9">
      <c r="A133" s="75" t="s">
        <v>244</v>
      </c>
      <c r="B133" s="18"/>
      <c r="C133" s="258" t="s">
        <v>167</v>
      </c>
      <c r="D133" s="258" t="s">
        <v>2807</v>
      </c>
      <c r="E133" s="258"/>
      <c r="F133" s="258"/>
      <c r="G133" s="18"/>
      <c r="H133" s="260" t="s">
        <v>191</v>
      </c>
      <c r="I133" t="str">
        <f t="shared" si="2"/>
        <v>"DRUID-Amélioration de caractéristiques":  {
 "Code" : "Amélioration de caractéristiques",
 "Class" : "DRUID",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134" spans="1:9">
      <c r="A134" s="75" t="s">
        <v>244</v>
      </c>
      <c r="B134" s="18"/>
      <c r="C134" s="258" t="s">
        <v>172</v>
      </c>
      <c r="D134" s="258"/>
      <c r="E134" s="258"/>
      <c r="F134" s="258"/>
      <c r="G134" s="18">
        <v>-1</v>
      </c>
      <c r="H134" s="260" t="s">
        <v>3471</v>
      </c>
      <c r="I134" t="str">
        <f t="shared" si="2"/>
        <v>"DRUID-Jeunesse éternelle":  {
 "Code" : "Jeunesse éternelle",
 "Class" : "DRUID",
 "Specialisation" : "","UseNumber" : -1,
 "Description" : "Parvenu au niveau 18, La magie primordiale qui vous parcourt ralentit le vieillissement de votre corps. Vous ne prenez qu'un an d'âge toutes les dix années écoulées."
  }</v>
      </c>
    </row>
    <row r="135" spans="1:9">
      <c r="A135" s="75" t="s">
        <v>244</v>
      </c>
      <c r="B135" s="18"/>
      <c r="C135" s="258" t="s">
        <v>3472</v>
      </c>
      <c r="D135" s="258"/>
      <c r="E135" s="258"/>
      <c r="F135" s="258"/>
      <c r="G135" s="18">
        <v>-1</v>
      </c>
      <c r="H135" s="260" t="s">
        <v>3473</v>
      </c>
      <c r="I135" t="str">
        <f t="shared" si="2"/>
        <v>"DRUID-Incantation animale":  {
 "Code" : "Incantation animale",
 "Class" : "DRUID",
 "Specialisation" : "","UseNumber" : -1,
 "Description" : "À partie du niveau 18, vous pouvez lancer sous forme animale la plupart des sorts que vous connaissez. Vous pouvez réaliser les composantes somatiques et verbales des sorts de druide lorsque vous êtes sous forme animale, mais vous ne pouvez pas lancer de sorts nécessitant une composante matérielle."
  }</v>
      </c>
    </row>
    <row r="136" spans="1:9">
      <c r="A136" s="274" t="s">
        <v>244</v>
      </c>
      <c r="B136" s="270"/>
      <c r="C136" s="272" t="s">
        <v>3474</v>
      </c>
      <c r="D136" s="272"/>
      <c r="E136" s="272"/>
      <c r="F136" s="272"/>
      <c r="G136" s="18">
        <v>-1</v>
      </c>
      <c r="H136" s="277" t="s">
        <v>3475</v>
      </c>
      <c r="I136" t="str">
        <f t="shared" si="2"/>
        <v>"DRUID-Archidruide":  {
 "Code" : "Archidruide",
 "Class" : "DRUID",
 "Specialisation" : "","UseNumber" : -1,
 "Description" : "Au niveau 20, vous pouvez utiliser Forme sauvage un nombre illimité de fois par jour. De plus, vous pouvez ignorer les composantes verbales et somatiques de vos sorts de même que toute composante matérielle non coûteuse qui n'est consommée par le sort. Vous gagnez ces avantages que vous soyez sous forme normale ou animale."
  }</v>
      </c>
    </row>
    <row r="137" spans="1:9">
      <c r="A137" s="75" t="s">
        <v>244</v>
      </c>
      <c r="B137" s="18" t="s">
        <v>2865</v>
      </c>
      <c r="C137" s="258" t="s">
        <v>3476</v>
      </c>
      <c r="D137" s="258"/>
      <c r="E137" s="258"/>
      <c r="F137" s="258"/>
      <c r="G137" s="18">
        <v>-1</v>
      </c>
      <c r="H137" s="261" t="s">
        <v>3477</v>
      </c>
      <c r="I137" t="str">
        <f t="shared" si="2"/>
        <v>"MOON_GROUP-Forme sauvage de combat":  {
 "Code" : "Forme sauvage de combat",
 "Class" : "DRUID",
 "Specialisation" : "MOON_GROUP","UseNumber" : -1,
 "Description" : "Lorsque vous choisissez ce cercle au niveau 2, vous obtenez la possibilité d'utiliser Forme sauvage durant votre tour par une action bonus, au lieu d'une action. De plus, lorsque vous êtes transformé via Forme sauvage, vous pouvez utiliser une action bonus pour dépenser un emplacement de sort et récupérer ainsi 1d8 points de vie par niveau d'emplacement de sort dépensé."
  }</v>
      </c>
    </row>
    <row r="138" spans="1:9">
      <c r="A138" s="75" t="s">
        <v>244</v>
      </c>
      <c r="B138" s="18" t="s">
        <v>2865</v>
      </c>
      <c r="C138" s="258" t="s">
        <v>3478</v>
      </c>
      <c r="D138" s="258"/>
      <c r="E138" s="258"/>
      <c r="F138" s="258"/>
      <c r="G138" s="18">
        <v>-1</v>
      </c>
      <c r="H138" s="251" t="s">
        <v>3479</v>
      </c>
      <c r="I138" t="str">
        <f t="shared" si="2"/>
        <v>"MOON_GROUP-Formes du cercle":  {
 "Code" : "Formes du cercle",
 "Class" : "DRUID",
 "Specialisation" : "MOON_GROUP","UseNumber" : -1,
 "Description" : "Les rites de votre cercle vous permettent de prendre la forme d'animaux plus dangereux. À partir du niveau 2, vous pouvez utiliser Forme sauvage pour vous transformer en une bête de facteur de puissance inférieur ou égal à 1 (ignorez la colonne FP maximum de la table Types de bêtes, vous êtes cependant toujours soumis aux autres restrictions).  À partir du niveau 6, vous pouvez vous transformer en une bête de facteur de puissance inférieur ou égal à votre niveau de druide divisé par 3, arrondi à l'entier inférieur."
  }</v>
      </c>
    </row>
    <row r="139" spans="1:9">
      <c r="A139" s="75" t="s">
        <v>244</v>
      </c>
      <c r="B139" s="18" t="s">
        <v>2865</v>
      </c>
      <c r="C139" s="258" t="s">
        <v>3480</v>
      </c>
      <c r="D139" s="258"/>
      <c r="E139" s="258"/>
      <c r="F139" s="258"/>
      <c r="G139" s="18">
        <v>-1</v>
      </c>
      <c r="H139" s="261" t="s">
        <v>3481</v>
      </c>
      <c r="I139" t="str">
        <f t="shared" si="2"/>
        <v>"MOON_GROUP-Frappe primitive":  {
 "Code" : "Frappe primitive",
 "Class" : "DRUID",
 "Specialisation" : "MOON_GROUP","UseNumber" : -1,
 "Description" : "À partir du niveau 6, vos attaques sous forme animale comptent comme des attaques magiques pour ce qui est de surmonter la résistance et l'immunité aux attaques et dégâts non magiques."
  }</v>
      </c>
    </row>
    <row r="140" spans="1:9">
      <c r="A140" s="75" t="s">
        <v>244</v>
      </c>
      <c r="B140" s="18" t="s">
        <v>2865</v>
      </c>
      <c r="C140" s="258" t="s">
        <v>3482</v>
      </c>
      <c r="D140" s="258"/>
      <c r="E140" s="258"/>
      <c r="F140" s="258"/>
      <c r="G140" s="18">
        <v>-1</v>
      </c>
      <c r="H140" s="261" t="s">
        <v>3483</v>
      </c>
      <c r="I140" t="str">
        <f t="shared" si="2"/>
        <v>"MOON_GROUP-Forme sauvage élémentaire":  {
 "Code" : "Forme sauvage élémentaire",
 "Class" : "DRUID",
 "Specialisation" : "MOON_GROUP","UseNumber" : -1,
 "Description" : "Au niveau 10, vous pouvez dépenser deux utilisations de Forme sauvage en même temps pour vous transformer en un élémentaire de l'air, de l'eau, de la terre ou du feu."
  }</v>
      </c>
    </row>
    <row r="141" spans="1:9">
      <c r="A141" s="274" t="s">
        <v>244</v>
      </c>
      <c r="B141" s="270" t="s">
        <v>2865</v>
      </c>
      <c r="C141" s="272" t="s">
        <v>3484</v>
      </c>
      <c r="D141" s="272"/>
      <c r="E141" s="272"/>
      <c r="F141" s="272"/>
      <c r="G141" s="18">
        <v>-1</v>
      </c>
      <c r="H141" s="273" t="s">
        <v>3485</v>
      </c>
      <c r="I141" t="str">
        <f t="shared" si="2"/>
        <v>"MOON_GROUP-Mille formes":  {
 "Code" : "Mille formes",
 "Class" : "DRUID",
 "Specialisation" : "MOON_GROUP","UseNumber" : -1,
 "Description" : "Au niveau 14, vous avez appris à utiliser la magie pour améliorer votre forme physique de façon plus subtile. Vous pouvez lancer le sort modification d'apparence à volonté."
  }</v>
      </c>
    </row>
    <row r="142" spans="1:9">
      <c r="A142" s="75" t="s">
        <v>244</v>
      </c>
      <c r="B142" s="18" t="s">
        <v>2864</v>
      </c>
      <c r="C142" s="258" t="s">
        <v>3381</v>
      </c>
      <c r="D142" s="258" t="s">
        <v>2807</v>
      </c>
      <c r="E142" s="258"/>
      <c r="F142" s="258"/>
      <c r="G142" s="18"/>
      <c r="H142" s="261" t="s">
        <v>3486</v>
      </c>
      <c r="I142" t="str">
        <f t="shared" si="2"/>
        <v>"EARTH_GROUP-Sort mineur supplémentaire":  {
 "Code" : "Sort mineur supplémentaire",
 "Class" : "DRUID",
 "Specialisation" : "EARTH_GROUP","Stats" : true,
 "Description" : "Lorsque vous choisissez ce cercle au niveau 2, vous apprenez un sort mineur de druide supplémentaire de votre choix."
  }</v>
      </c>
    </row>
    <row r="143" spans="1:9">
      <c r="A143" s="75" t="s">
        <v>244</v>
      </c>
      <c r="B143" s="18" t="s">
        <v>2864</v>
      </c>
      <c r="C143" s="258" t="s">
        <v>3487</v>
      </c>
      <c r="D143" s="258"/>
      <c r="E143" s="258"/>
      <c r="F143" s="258"/>
      <c r="G143" s="18">
        <v>-1</v>
      </c>
      <c r="H143" s="261" t="s">
        <v>3488</v>
      </c>
      <c r="I143" t="str">
        <f t="shared" si="2"/>
        <v>"EARTH_GROUP-Récupération naturelle":  {
 "Code" : "Récupération naturelle",
 "Class" : "DRUID",
 "Specialisation" : "EARTH_GROUP","UseNumber" : -1,
 "Description" : "À partir du niveau 2, vous pouvez récupérer une partie de votre énergie magique en méditant et communiant avec la nature. Lors d'un repos court, vous choisissez les emplacements de sorts que vous souhaitez récupérer. Les emplacements de sorts doivent avoir un niveau cumulé inférieur ou égal à la moitié de votre niveau de druide (arrondi à l'entier supérieur), et aucun de ces emplacements ne doit être de niveau 6 ou supérieur. Vous ne pouvez pas utiliser de nouveau cette capacité avant d'avoir terminé un repos long. Par exemple, si vous êtes un druide de niveau 4, vous pouvez récupérer jusqu'à deux niveaux d'emplacement de sort. Vous pouvez soit choisir un emplacement de sort de niveau 2, soit deux emplacements de sorts de niveau 1."
  }</v>
      </c>
    </row>
    <row r="144" spans="1:9">
      <c r="A144" s="75" t="s">
        <v>244</v>
      </c>
      <c r="B144" s="18" t="s">
        <v>2864</v>
      </c>
      <c r="C144" s="256" t="s">
        <v>3489</v>
      </c>
      <c r="D144" s="256"/>
      <c r="E144" s="256"/>
      <c r="F144" s="256"/>
      <c r="G144" s="18">
        <v>-1</v>
      </c>
      <c r="H144" s="251" t="s">
        <v>3490</v>
      </c>
      <c r="I144" t="str">
        <f t="shared" si="2"/>
        <v>"EARTH_GROUP-Sorts de cercle":  {
 "Code" : "Sorts de cercle",
 "Class" : "DRUID",
 "Specialisation" : "EARTH_GROUP","UseNumber" : -1,
 "Description" : "Votre connexion mystique à la terre vous permet de lancer certains sorts. Aux niveaux 3, 5, 7 et 9, vous accédez à des sorts de cercle liés à la terre qui vous a vu devenir druide. Choisissez ce terrain (arctique, désert, forêt, littoral, marais, montagne, plaine ou Outreterre) et consultez la liste de sorts associée. Une fois que vous gagnez accès à un sort de cercle, ce sort est constamment préparé et ne compte pas dans le total de sorts que vous pouvez préparer chaque jour. Si vous accédez à un sort qui n'apparaît pas dans la liste de sorts du druide, ce sort est néanmoins considéré comme étant un sort de druide pour vous.  Arctique Niveau de druide     Sorts de cercle 3	                 croissance d'épines, immobilisation de personne 5	                 lenteur, tempête de neige 7	                 liberté de mouvement, tempête de grêle 9	                 communion avec la nature, cône de froid  Désert Niveau de druide	Sorts de cercle 3	                flou, silence 5	                création de nourriture et d'eau, protection contre une énergie 7	                flétrissement, terrain hallucinatoire 9	                fléau d'insectes, mur de pierre  Forêt Niveau de druide	Sorts de cercle 3	                pattes d'araignée, peau d'écorce 5	                appel de la foudre, croissance végétale 7	                divination, liberté de mouvement 9	                communion avec la nature, passage par les arbres  Littoral Niveau de druide	Sorts de cercle 3	                image miroir, pas brumeux 5	                marche sur l'eau, respiration aquatique 7	                contrôle de l'eau, liberté de mouvement 9	                invocation d'élémentaire, scrutation  Marais Niveau de druide	Sorts de cercle 3	                flèche acide de Melf, ténèbres 5	                marche sur l'eau, nuage puant 7	                liberté de mouvement, localisation de créature 9	                fléau d'insectes, scrutation  Montagne Niveau de druide	Sorts de cercle 3	                croissance d'épines, pattes d'araignée 5	                éclair, fusion dans la pierre 7	                façonnage de la pierre, peau de pierre 9	                mur de pierre, passe-muraille  Plaine Niveau de druide	Sorts de cercle 3	                invisibilité, passage sans trace 5	                hâte, lumière du jour 7	                divination, liberté de mouvement 9	                fléau d'insectes, rêve  Outreterre Niveau de druide	Sorts de cercle 3	                pattes d'araignée, toile d'araignée 5	                forme gazeuse, nuage puant 7	                façonnage de la pierre, invisibilité supérieure 9	                fléau d'insectes, nuage mortel"
  }</v>
      </c>
    </row>
    <row r="145" spans="1:9">
      <c r="A145" s="75" t="s">
        <v>244</v>
      </c>
      <c r="B145" s="18" t="s">
        <v>2864</v>
      </c>
      <c r="C145" s="258" t="s">
        <v>3491</v>
      </c>
      <c r="D145" s="258"/>
      <c r="E145" s="258"/>
      <c r="F145" s="258"/>
      <c r="G145" s="18">
        <v>-1</v>
      </c>
      <c r="H145" s="261" t="s">
        <v>3492</v>
      </c>
      <c r="I145" t="str">
        <f t="shared" si="2"/>
        <v>"EARTH_GROUP-Traversée des terrains":  {
 "Code" : "Traversée des terrains",
 "Class" : "DRUID",
 "Specialisation" : "EARTH_GROUP","UseNumber" : -1,
 "Description" : "À partir du niveau 6, vous déplacer sur un terrain difficile non magique ne vous coûte pas de déplacement supplémentaire. Vous pouvez également traverser la végétation non magique sans être ralenti et sans subir de dégâts si elle est constituée d'épines, de pointes ou d'autres inconvénients similaires. De plus, vous avez un avantage aux jets de sauvegarde contre les plantes qui ont été créées magiquement ou manipulées pour empêcher les mouvements, comme celles créées par le sort enchevêtrement."
  }</v>
      </c>
    </row>
    <row r="146" spans="1:9">
      <c r="A146" s="75" t="s">
        <v>244</v>
      </c>
      <c r="B146" s="18" t="s">
        <v>2864</v>
      </c>
      <c r="C146" s="258" t="s">
        <v>3493</v>
      </c>
      <c r="D146" s="258" t="s">
        <v>2807</v>
      </c>
      <c r="E146" s="258"/>
      <c r="F146" s="258"/>
      <c r="G146" s="18"/>
      <c r="H146" s="261" t="s">
        <v>3494</v>
      </c>
      <c r="I146" t="str">
        <f t="shared" si="2"/>
        <v>"EARTH_GROUP-Protection de la nature":  {
 "Code" : "Protection de la nature",
 "Class" : "DRUID",
 "Specialisation" : "EARTH_GROUP","Stats" : true,
 "Description" : "Lorsque vous atteignez le niveau 10, vous ne pouvez plus être charmé ou effrayé par les élémentaires ou les fées, et vous êtes immunisé contre les poisons et les maladies."
  }</v>
      </c>
    </row>
    <row r="147" spans="1:9">
      <c r="A147" s="179" t="s">
        <v>244</v>
      </c>
      <c r="B147" s="52" t="s">
        <v>2864</v>
      </c>
      <c r="C147" s="262" t="s">
        <v>3495</v>
      </c>
      <c r="D147" s="262"/>
      <c r="E147" s="262"/>
      <c r="F147" s="262"/>
      <c r="G147" s="18">
        <v>-1</v>
      </c>
      <c r="H147" s="263" t="s">
        <v>3496</v>
      </c>
      <c r="I147" t="str">
        <f t="shared" si="2"/>
        <v>"EARTH_GROUP-Sanctuaire de la nature":  {
 "Code" : "Sanctuaire de la nature",
 "Class" : "DRUID",
 "Specialisation" : "EARTH_GROUP","UseNumber" : -1,
 "Description" : "Lorsque vous atteignez le niveau 14, les créatures du monde naturel ressentent votre connexion avec la nature et hésitent à vous attaquer. Quand une bête ou une plante vous attaque, cette créature doit réussir un jet de sauvegarde de Sagesse contre votre DD de sort de druide. Si elle échoue, la créature doit choisir une autre cible, ou bien l'attaque rate automatiquement. En cas de jet de sauvegarde réussi, la créature est immunisée à cet effet pour 24 heures. La créature est consciente de cet effet avant qu'elle n'effectue son attaque contre vous."
  }</v>
      </c>
    </row>
    <row r="148" spans="1:9">
      <c r="A148" s="264" t="s">
        <v>245</v>
      </c>
      <c r="B148" s="161"/>
      <c r="C148" s="259" t="s">
        <v>998</v>
      </c>
      <c r="D148" s="259" t="s">
        <v>2807</v>
      </c>
      <c r="E148" s="259" t="s">
        <v>2807</v>
      </c>
      <c r="F148" s="259" t="s">
        <v>2807</v>
      </c>
      <c r="G148" s="18"/>
      <c r="H148" s="265" t="s">
        <v>3497</v>
      </c>
      <c r="I148" t="str">
        <f t="shared" si="2"/>
        <v>"SORCERER-Points de sorcellerie":  {
 "Code" : "Points de sorcellerie",
 "Class" : "SORCERER",
 "Specialisation" : "","Stats" : true,"Auto" : true,"Special" : true,
 "Description" : "Vous avez 2 points de sorcellerie, et vous en gagnez plus à des niveaux supérieurs, comme indiqué dans la colonne de Points de sorcellerie de la table ci-dessus. Vous ne pouvez jamais avoir plus de points de sorcellerie que ce que vous permet votre niveau dans la table ci-dessus. Vous récupérez tous les points de sorcellerie utilisés lorsque vous terminez un repos long."
  }</v>
      </c>
    </row>
    <row r="149" spans="1:9">
      <c r="A149" s="75" t="s">
        <v>245</v>
      </c>
      <c r="B149" s="18"/>
      <c r="C149" s="258" t="s">
        <v>3904</v>
      </c>
      <c r="D149" s="258" t="s">
        <v>2807</v>
      </c>
      <c r="E149" s="258" t="s">
        <v>2807</v>
      </c>
      <c r="F149" s="258"/>
      <c r="G149" s="18"/>
      <c r="H149" s="261" t="s">
        <v>3906</v>
      </c>
      <c r="I149" t="str">
        <f t="shared" si="2"/>
        <v>"SORCERER-Source de magie":  {
 "Code" : "Source de magie",
 "Class" : "SORCERER",
 "Specialisation" : "","Stats" : true,"Auto" : true,
 "Description" : "Au niveau 2, vous puisez dans une source profonde de magie en vous. Cette source est représentée par des points de sorcellerie qui vous permettent de créer une variété d'effets magiques."
  }</v>
      </c>
    </row>
    <row r="150" spans="1:9">
      <c r="A150" s="75" t="s">
        <v>245</v>
      </c>
      <c r="B150" s="18"/>
      <c r="C150" s="258" t="s">
        <v>2829</v>
      </c>
      <c r="D150" s="258" t="s">
        <v>2807</v>
      </c>
      <c r="E150" s="258"/>
      <c r="F150" s="258"/>
      <c r="G150" s="18"/>
      <c r="H150" s="261" t="s">
        <v>3905</v>
      </c>
      <c r="I150" t="str">
        <f t="shared" si="2"/>
        <v>"SORCERER-Origine magique":  {
 "Code" : "Origine magique",
 "Class" : "SORCERER",
 "Specialisation" : "","Stats" : true,
 "Description" : "Choisissez une origine d'ensorceleur, qui décrit la source de votre pouvoir magique inné : lignée draconique ou magie sauvage, lesquelles sont détaillées à la fin de la description de la classe."
  }</v>
      </c>
    </row>
    <row r="151" spans="1:9">
      <c r="A151" s="75" t="s">
        <v>245</v>
      </c>
      <c r="B151" s="18"/>
      <c r="C151" s="258" t="s">
        <v>3498</v>
      </c>
      <c r="D151" s="258"/>
      <c r="E151" s="258"/>
      <c r="F151" s="258" t="s">
        <v>2807</v>
      </c>
      <c r="G151" s="18"/>
      <c r="H151" s="251" t="s">
        <v>3499</v>
      </c>
      <c r="I151" t="str">
        <f t="shared" si="2"/>
        <v>"SORCERER-Flexibilité des sorts":  {
 "Code" : "Flexibilité des sorts",
 "Class" : "SORCERER",
 "Specialisation" : "","Special" : true,
 "Description" : "Vous pouvez utiliser vos points de sorcellerie pour gagner des emplacements de sorts supplémentaires ou sacrifier des emplacements de sorts pour gagner des points de sorcellerie supplémentaires. Vous apprenez d'autres façons d'utiliser vos points de sorcellerie lorsque vous atteignez des niveaux plus élevés. Tout emplacement de sort créé de cette manière disparaît lorsque vous terminez un repos long.  Création d'emplacements de sorts. Vous pouvez transformer des points de sorcellerie inutilisés en un emplacement de sort par une action bonus à votre tour. La table ci-dessous indique le coût pour créer un emplacement de sort d'un niveau donné. Vous ne pouvez pas créer d’emplacements de sorts d'un niveau supérieur à 5.  Niveau d'emplacement de sort - Coût en points de sorcellerie 1	                         - 2 2	                         - 3 3	                         - 5 4	                         - 6 5	                         - 7 Convertir un emplacement de sort en points de sorcellerie. Par une action bonus à votre tour, vous pouvez dépenser un emplacement de sort et gagner un nombre de points de sorcellerie égal au niveau d'emplacement."
  }</v>
      </c>
    </row>
    <row r="152" spans="1:9">
      <c r="A152" s="75" t="s">
        <v>245</v>
      </c>
      <c r="B152" s="18"/>
      <c r="C152" s="258" t="s">
        <v>3500</v>
      </c>
      <c r="D152" s="258"/>
      <c r="E152" s="258"/>
      <c r="F152" s="258"/>
      <c r="G152" s="18">
        <v>-1</v>
      </c>
      <c r="H152" s="260" t="s">
        <v>3501</v>
      </c>
      <c r="I152" t="str">
        <f t="shared" si="2"/>
        <v>"SORCERER-Métamagie":  {
 "Code" : "Métamagie",
 "Class" : "SORCERER",
 "Specialisation" : "","UseNumber" : -1,
 "Description" : "Au niveau 3, vous gagnez la possibilité d’altérer vos sorts en fonction de vos besoins. Vous gagnez deux des options de métamagie suivantes de votre choix. Vous en gagnez une autre aux niveaux 10 et 17. Sauf indication contraire, vous ne pouvez utiliser sur un sort qu'une seule option de métamagie lorsque vous le lancez."
  }</v>
      </c>
    </row>
    <row r="153" spans="1:9">
      <c r="A153" s="75" t="s">
        <v>245</v>
      </c>
      <c r="B153" s="18"/>
      <c r="C153" s="258" t="s">
        <v>3502</v>
      </c>
      <c r="D153" s="258"/>
      <c r="E153" s="258"/>
      <c r="F153" s="258"/>
      <c r="G153" s="18">
        <v>-1</v>
      </c>
      <c r="H153" s="260" t="s">
        <v>3503</v>
      </c>
      <c r="I153" t="str">
        <f t="shared" si="2"/>
        <v>"SORCERER-Sort accéléré":  {
 "Code" : "Sort accéléré",
 "Class" : "SORCERER",
 "Specialisation" : "","UseNumber" : -1,
 "Description" : "Lorsque vous lancez un sort qui a un temps d'incantation de 1 action, vous pouvez dépenser 2 points de sorcellerie pour changer le temps d'incantation à 1 action bonus pour lancer ce sort."
  }</v>
      </c>
    </row>
    <row r="154" spans="1:9">
      <c r="A154" s="75" t="s">
        <v>245</v>
      </c>
      <c r="B154" s="18"/>
      <c r="C154" s="258" t="s">
        <v>3504</v>
      </c>
      <c r="D154" s="258"/>
      <c r="E154" s="258"/>
      <c r="F154" s="258"/>
      <c r="G154" s="18">
        <v>-1</v>
      </c>
      <c r="H154" s="260" t="s">
        <v>3505</v>
      </c>
      <c r="I154" t="str">
        <f t="shared" si="2"/>
        <v>"SORCERER-Sort distant":  {
 "Code" : "Sort distant",
 "Class" : "SORCERER",
 "Specialisation" : "","UseNumber" : -1,
 "Description" : "Quand vous lancez un sort qui a une portée de 1,50 mètre ou plus, vous pouvez dépenser 1 point de sorcellerie pour doubler la portée du sort. Si le sort a une portée de contact, vous pouvez dépenser 1 point de sorcellerie pour faire passer sa portée à 9 mètres."
  }</v>
      </c>
    </row>
    <row r="155" spans="1:9">
      <c r="A155" s="75" t="s">
        <v>245</v>
      </c>
      <c r="B155" s="55"/>
      <c r="C155" s="258" t="s">
        <v>3506</v>
      </c>
      <c r="D155" s="258"/>
      <c r="E155" s="258"/>
      <c r="F155" s="258"/>
      <c r="G155" s="18">
        <v>-1</v>
      </c>
      <c r="H155" s="260" t="s">
        <v>3507</v>
      </c>
      <c r="I155" t="str">
        <f t="shared" si="2"/>
        <v>"SORCERER-Sort étendu":  {
 "Code" : "Sort étendu",
 "Class" : "SORCERER",
 "Specialisation" : "","UseNumber" : -1,
 "Description" : "Lorsque vous lancez un sort qui a une durée de 1 minute ou plus, vous pouvez dépenser 1 point de sorcellerie pour doubler sa durée (maximum 24 heures)."
  }</v>
      </c>
    </row>
    <row r="156" spans="1:9">
      <c r="A156" s="75" t="s">
        <v>245</v>
      </c>
      <c r="B156" s="18"/>
      <c r="C156" s="258" t="s">
        <v>3508</v>
      </c>
      <c r="D156" s="258"/>
      <c r="E156" s="258"/>
      <c r="F156" s="258"/>
      <c r="G156" s="18">
        <v>-1</v>
      </c>
      <c r="H156" s="261" t="s">
        <v>3509</v>
      </c>
      <c r="I156" t="str">
        <f t="shared" si="2"/>
        <v>"SORCERER-Sort intense":  {
 "Code" : "Sort intense",
 "Class" : "SORCERER",
 "Specialisation" : "","UseNumber" : -1,
 "Description" : "Lorsque vous lancez un sort qui oblige une créature à faire un jet de sauvegarde pour résister à ses effets, vous pouvez dépenser 3 points de sorcellerie pour donner à une cible du sort un désavantage à son premier jet de sauvegarde contre le sort."
  }</v>
      </c>
    </row>
    <row r="157" spans="1:9">
      <c r="A157" s="75" t="s">
        <v>245</v>
      </c>
      <c r="B157" s="18"/>
      <c r="C157" s="258" t="s">
        <v>3510</v>
      </c>
      <c r="D157" s="258"/>
      <c r="E157" s="258"/>
      <c r="F157" s="258"/>
      <c r="G157" s="18">
        <v>-1</v>
      </c>
      <c r="H157" s="251" t="s">
        <v>3511</v>
      </c>
      <c r="I157" t="str">
        <f t="shared" si="2"/>
        <v>"SORCERER-Sort jumeau":  {
 "Code" : "Sort jumeau",
 "Class" : "SORCERER",
 "Specialisation" : "","UseNumber" : -1,
 "Description" : "Quand vous lancez un sort qui a pour cible une seule créature et qui n'a pas une portée personnelle, vous pouvez dépenser un nombre de points de sorcellerie égal au niveau du sort pour viser une deuxième créature à portée avec le même sort (1 point de sorcellerie si le sort est un sort mineur).  Pour pouvoir utiliser cette option de métamagie, le sort doit être incapable de cibler plus d'une créature au niveau auquel il est lancé. Par exemple, rayon de givre fonctionne avec cette option mais pas projectile magique ni rayon ardent."
  }</v>
      </c>
    </row>
    <row r="158" spans="1:9">
      <c r="A158" s="75" t="s">
        <v>245</v>
      </c>
      <c r="B158" s="18"/>
      <c r="C158" s="258" t="s">
        <v>3512</v>
      </c>
      <c r="D158" s="258"/>
      <c r="E158" s="258"/>
      <c r="F158" s="258"/>
      <c r="G158" s="18">
        <v>-1</v>
      </c>
      <c r="H158" s="261" t="s">
        <v>3513</v>
      </c>
      <c r="I158" t="str">
        <f t="shared" si="2"/>
        <v>"SORCERER-Sort prudent":  {
 "Code" : "Sort prudent",
 "Class" : "SORCERER",
 "Specialisation" : "","UseNumber" : -1,
 "Description" : "Lorsque vous lancez un sort qui force les autres créatures à faire un jet de sauvegarde, vous pouvez libérer de cette obligation du sort certaines de ces créatures. Pour ce faire, dépensez 1 point de sorcellerie et choisissez un nombre de créatures égal à votre modificateur de Charisme (minimum 1 créature). Chaque créature choisie réussie automatiquement sur son jet de sauvegarde contre le sort."
  }</v>
      </c>
    </row>
    <row r="159" spans="1:9">
      <c r="A159" s="75" t="s">
        <v>245</v>
      </c>
      <c r="B159" s="18"/>
      <c r="C159" s="258" t="s">
        <v>3514</v>
      </c>
      <c r="D159" s="258"/>
      <c r="E159" s="258"/>
      <c r="F159" s="258"/>
      <c r="G159" s="18">
        <v>-1</v>
      </c>
      <c r="H159" s="261" t="s">
        <v>3515</v>
      </c>
      <c r="I159" t="str">
        <f t="shared" si="2"/>
        <v>"SORCERER-Sort puissant":  {
 "Code" : "Sort puissant",
 "Class" : "SORCERER",
 "Specialisation" : "","UseNumber" : -1,
 "Description" : "Lorsque vous jetez les dégâts pour un sort, vous pouvez dépenser 1 point de sorcellerie pour relancer un nombre de dés de dégâts égal à votre modificateur de Charisme (minimum 1). Vous devez forcément utiliser les nouveaux dégâts. Vous pouvez utiliser Sort puissant même si vous avez déjà utilisé une option différente de métamagie lors du lancer de ce sort."
  }</v>
      </c>
    </row>
    <row r="160" spans="1:9">
      <c r="A160" s="75" t="s">
        <v>245</v>
      </c>
      <c r="B160" s="18"/>
      <c r="C160" s="258" t="s">
        <v>3516</v>
      </c>
      <c r="D160" s="258"/>
      <c r="E160" s="258"/>
      <c r="F160" s="258"/>
      <c r="G160" s="18">
        <v>-1</v>
      </c>
      <c r="H160" s="282" t="s">
        <v>3517</v>
      </c>
      <c r="I160" t="str">
        <f t="shared" si="2"/>
        <v>"SORCERER-Sort subtil":  {
 "Code" : "Sort subtil",
 "Class" : "SORCERER",
 "Specialisation" : "","UseNumber" : -1,
 "Description" : "Lorsque vous lancez un sort, vous pouvez dépenser 1 point de sorcellerie pour le lancer sans composantes somatiques ou verbales."
  }</v>
      </c>
    </row>
    <row r="161" spans="1:9">
      <c r="A161" s="75" t="s">
        <v>245</v>
      </c>
      <c r="B161" s="18"/>
      <c r="C161" s="258" t="s">
        <v>167</v>
      </c>
      <c r="D161" s="258" t="s">
        <v>2807</v>
      </c>
      <c r="E161" s="258"/>
      <c r="F161" s="258"/>
      <c r="G161" s="18"/>
      <c r="H161" s="261" t="s">
        <v>191</v>
      </c>
      <c r="I161" t="str">
        <f t="shared" si="2"/>
        <v>"SORCERER-Amélioration de caractéristiques":  {
 "Code" : "Amélioration de caractéristiques",
 "Class" : "SORCERER",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162" spans="1:9">
      <c r="A162" s="274" t="s">
        <v>245</v>
      </c>
      <c r="B162" s="275"/>
      <c r="C162" s="272" t="s">
        <v>3518</v>
      </c>
      <c r="D162" s="272"/>
      <c r="E162" s="272"/>
      <c r="F162" s="272"/>
      <c r="G162" s="18">
        <v>-1</v>
      </c>
      <c r="H162" s="273" t="s">
        <v>3519</v>
      </c>
      <c r="I162" t="str">
        <f t="shared" si="2"/>
        <v>"SORCERER-Restauration magique":  {
 "Code" : "Restauration magique",
 "Class" : "SORCERER",
 "Specialisation" : "","UseNumber" : -1,
 "Description" : "Au niveau 20, vous regagnez 4 points de sorcellerie dépensés chaque fois que vous terminez un repos court."
  }</v>
      </c>
    </row>
    <row r="163" spans="1:9">
      <c r="A163" s="75" t="s">
        <v>245</v>
      </c>
      <c r="B163" s="55" t="s">
        <v>235</v>
      </c>
      <c r="C163" s="256" t="s">
        <v>3520</v>
      </c>
      <c r="D163" s="256" t="s">
        <v>2807</v>
      </c>
      <c r="E163" s="256"/>
      <c r="F163" s="256"/>
      <c r="G163" s="18"/>
      <c r="H163" s="251" t="s">
        <v>3521</v>
      </c>
      <c r="I163" t="str">
        <f t="shared" si="2"/>
        <v>"DRAGON_BORN-Ancêtre dragon":  {
 "Code" : "Ancêtre dragon",
 "Class" : "SORCERER",
 "Specialisation" : "DRAGON_BORN","Stats" : true,
 "Description" : "Au niveau 1, vous choisissez un type de dragon comme votre ancêtre. Le type de dégât associé à chaque dragon est utilisé par les capacités que vous gagnerez plus tard.  Dragon	Type de dégâts Blanc	Froid Bleu	Foudre Noir	Acide Rouge	Feu Vert	Poison Airain	Feu Argent	Froid Bronze	Foudre Cuivre	Acide Or	    Feu Vous pouvez parler, lire et écrire le draconique. De plus, chaque fois que vous faites un jet de Charisme pour interagir avec des dragons, votre bonus de maîtrise est doublé s’il s’applique au jet.  Résistance draconique"
  }</v>
      </c>
    </row>
    <row r="164" spans="1:9">
      <c r="A164" s="75" t="s">
        <v>245</v>
      </c>
      <c r="B164" s="55" t="s">
        <v>235</v>
      </c>
      <c r="C164" s="258" t="s">
        <v>3522</v>
      </c>
      <c r="D164" s="258"/>
      <c r="E164" s="258"/>
      <c r="F164" s="258"/>
      <c r="G164" s="18">
        <v>-1</v>
      </c>
      <c r="H164" s="251" t="s">
        <v>3523</v>
      </c>
      <c r="I164" t="str">
        <f t="shared" si="2"/>
        <v>"DRAGON_BORN-Résistance draconique":  {
 "Code" : "Résistance draconique",
 "Class" : "SORCERER",
 "Specialisation" : "DRAGON_BORN","UseNumber" : -1,
 "Description" : "La magie qui coule à travers votre corps fait émerger des traits physiques de vos ancêtres dragons. Au niveau 1, vos points de vie maximums augmentent de 1 et également de 1 à chaque fois que vous gagnez un niveau dans cette classe. En outre, des parties de votre peau sont couvertes d’un mince reflet d’écailles de dragon. Lorsque vous ne portez pas d'armure, votre CA est égale à 13 + votre modificateur de Dextérité."
  }</v>
      </c>
    </row>
    <row r="165" spans="1:9">
      <c r="A165" s="75" t="s">
        <v>245</v>
      </c>
      <c r="B165" s="55" t="s">
        <v>235</v>
      </c>
      <c r="C165" s="258" t="s">
        <v>3524</v>
      </c>
      <c r="D165" s="258"/>
      <c r="E165" s="258"/>
      <c r="F165" s="258"/>
      <c r="G165" s="18">
        <v>-1</v>
      </c>
      <c r="H165" s="261" t="s">
        <v>3525</v>
      </c>
      <c r="I165" t="str">
        <f t="shared" si="2"/>
        <v>"DRAGON_BORN-Affinité élémentaire":  {
 "Code" : "Affinité élémentaire",
 "Class" : "SORCERER",
 "Specialisation" : "DRAGON_BORN","UseNumber" : -1,
 "Description" : "À partir du niveau 6, lorsque vous lancez un sort qui inflige des dégâts du type associé à votre ascendance draconique, vous pouvez ajouter votre modificateur de Charisme aux dégâts d'un seul jet. Dans le même temps, vous pouvez dépenser 1 point de sorcellerie pour gagner une résistance à ce type de dégâts pendant 1 heure."
  }</v>
      </c>
    </row>
    <row r="166" spans="1:9">
      <c r="A166" s="75" t="s">
        <v>245</v>
      </c>
      <c r="B166" s="55" t="s">
        <v>235</v>
      </c>
      <c r="C166" s="258" t="s">
        <v>3526</v>
      </c>
      <c r="D166" s="258"/>
      <c r="E166" s="258"/>
      <c r="F166" s="258"/>
      <c r="G166" s="18">
        <v>-1</v>
      </c>
      <c r="H166" s="261" t="s">
        <v>3527</v>
      </c>
      <c r="I166" t="str">
        <f t="shared" si="2"/>
        <v>"DRAGON_BORN-Ailes de dragon":  {
 "Code" : "Ailes de dragon",
 "Class" : "SORCERER",
 "Specialisation" : "DRAGON_BORN","UseNumber" : -1,
 "Description" : "Au niveau 14, vous obtenez la possibilité de faire pousser une paire d'ailes de dragon dans votre dos et gagnez une vitesse de vol égale à votre vitesse actuelle. Vous pouvez créer ces ailes en une action bonus à votre tour. Elles durent jusqu'à ce que vous les rejetiez par une action bonus à votre tour. Vous ne pouvez pas faire apparaître vos ailes si vous portez une armure, sauf si l'armure est faite pour les accueillir. De même, des vêtements non prévus pour accueillir vos ailes pourraient être détruits lorsque vous les faîtes apparaître."
  }</v>
      </c>
    </row>
    <row r="167" spans="1:9">
      <c r="A167" s="274" t="s">
        <v>245</v>
      </c>
      <c r="B167" s="275" t="s">
        <v>235</v>
      </c>
      <c r="C167" s="272" t="s">
        <v>3528</v>
      </c>
      <c r="D167" s="272"/>
      <c r="E167" s="272"/>
      <c r="F167" s="272"/>
      <c r="G167" s="18">
        <v>-1</v>
      </c>
      <c r="H167" s="273" t="s">
        <v>3529</v>
      </c>
      <c r="I167" t="str">
        <f t="shared" si="2"/>
        <v>"DRAGON_BORN-Présence draconique":  {
 "Code" : "Présence draconique",
 "Class" : "SORCERER",
 "Specialisation" : "DRAGON_BORN","UseNumber" : -1,
 "Description" : "À partir du niveau 18, vous pouvez canaliser la présence effrayante de votre ancêtre dragon, causant autour de vous la terreur ou la fascination. En une action, vous pouvez dépenser 5 points de sorcellerie pour déclencher ce pouvoir et dégager une aura de fascination ou de peur (à votre choix) sur une distance de 18 mètres. Pendant 1 minute ou jusqu'à ce que vous perdiez votre concentration (comme lorsqu'on lance un sort avec concentration), chaque créature hostile qui commence son tour dans cette aura doit réussir un jet de sauvegarde de Sagesse ou être charmée (si vous avez choisi la fascination) ou effrayée (si vous avez choisi la peur) jusqu'à ce que l'aura se termine. Une créature qui réussit sur ce jet de sauvegarde est immunisée de votre aura pendant 24 heures."
  }</v>
      </c>
    </row>
    <row r="168" spans="1:9">
      <c r="A168" s="75" t="s">
        <v>245</v>
      </c>
      <c r="B168" s="55" t="s">
        <v>2868</v>
      </c>
      <c r="C168" s="258" t="s">
        <v>3530</v>
      </c>
      <c r="D168" s="258"/>
      <c r="E168" s="258"/>
      <c r="F168" s="258"/>
      <c r="G168" s="18">
        <v>-1</v>
      </c>
      <c r="H168" s="261" t="s">
        <v>3531</v>
      </c>
      <c r="I168" t="str">
        <f t="shared" si="2"/>
        <v>"WILD_MAGIC-Sursaut de magie sauvage":  {
 "Code" : "Sursaut de magie sauvage",
 "Class" : "SORCERER",
 "Specialisation" : "WILD_MAGIC","UseNumber" : -1,
 "Description" : "Dès lors que vous choisissez cette origine au niveau 1, vos sorts peuvent déclencher des poussées de magie incontrôlables. Une fois par tour, le MD peut vous demander de lancer un d20, immédiatement après que vous ayez lancé un sort d'ensorceleur du niveau 1 ou plus. Si vous obtenez un 1, vous déclenchez un effet magique aléatoire. Reportez-vous au tableau ci-dessous de Sursauts de magie sauvage pour déterminer les effets du résultat. Si l'effet de la magie sauvage est un sort, celui-ci est trop violent pour être affecté par votre métamagie. S'il demande normalement de la concentration, dans ce cas il n'en demande pas ; le sort persiste pour sa durée totale."
  }</v>
      </c>
    </row>
    <row r="169" spans="1:9">
      <c r="A169" s="75" t="s">
        <v>245</v>
      </c>
      <c r="B169" s="55" t="s">
        <v>2868</v>
      </c>
      <c r="C169" s="258" t="s">
        <v>3532</v>
      </c>
      <c r="D169" s="258"/>
      <c r="E169" s="258"/>
      <c r="F169" s="258"/>
      <c r="G169" s="18">
        <v>-1</v>
      </c>
      <c r="H169" s="251" t="s">
        <v>3533</v>
      </c>
      <c r="I169" t="str">
        <f t="shared" si="2"/>
        <v>"WILD_MAGIC-Vague de chaos":  {
 "Code" : "Vague de chaos",
 "Class" : "SORCERER",
 "Specialisation" : "WILD_MAGIC","UseNumber" : -1,
 "Description" : "À partir du niveau 1, vous pouvez manipuler les forces du hasard et du chaos pour gagner l'avantage sur un jet d'attaque, un jet de caractéristique ou un jet de sauvegarde. Lorsque vous le faites, vous devez terminer un repos long avant de pouvoir l'utiliser à nouveau.  Tant que vous n'avez pas récupéré l'usage de cette capacité, si vous lancez un sort d'ensorceleur de niveau 1 ou plus, le MD peut vous demander de faire un jet de Sursaut de magie sauvage (d100). Quel qu'en soit le résultat, vous récupérez ensuite cette capacité."
  }</v>
      </c>
    </row>
    <row r="170" spans="1:9">
      <c r="A170" s="75" t="s">
        <v>245</v>
      </c>
      <c r="B170" s="55" t="s">
        <v>2868</v>
      </c>
      <c r="C170" s="258" t="s">
        <v>3534</v>
      </c>
      <c r="D170" s="258"/>
      <c r="E170" s="258"/>
      <c r="F170" s="258"/>
      <c r="G170" s="18">
        <v>-1</v>
      </c>
      <c r="H170" s="261" t="s">
        <v>3535</v>
      </c>
      <c r="I170" t="str">
        <f t="shared" si="2"/>
        <v>"WILD_MAGIC-Chance forcée":  {
 "Code" : "Chance forcée",
 "Class" : "SORCERER",
 "Specialisation" : "WILD_MAGIC","UseNumber" : -1,
 "Description" : "À partir du niveau 6, vous obtenez la capacité d'altérer le destin en utilisant votre magie sauvage. Lorsqu'une créature que vous voyez fait un jet d'attaque, de caractéristique ou de sauvegarde, vous pouvez utiliser votre réaction et dépenser 2 points de sorcellerie pour jeter 1d4 et appliquer le chiffre comme bonus ou malus (au choix) au résultat de la créature. Vous pouvez faire ceci après que la créature ait jeté les dés mais avant que l'effet du jet ne soit annoncé."
  }</v>
      </c>
    </row>
    <row r="171" spans="1:9">
      <c r="A171" s="75" t="s">
        <v>245</v>
      </c>
      <c r="B171" s="55" t="s">
        <v>2868</v>
      </c>
      <c r="C171" s="258" t="s">
        <v>3536</v>
      </c>
      <c r="D171" s="258"/>
      <c r="E171" s="258"/>
      <c r="F171" s="258"/>
      <c r="G171" s="18">
        <v>-1</v>
      </c>
      <c r="H171" s="261" t="s">
        <v>3537</v>
      </c>
      <c r="I171" t="str">
        <f t="shared" si="2"/>
        <v>"WILD_MAGIC-Chaos contrôlé":  {
 "Code" : "Chaos contrôlé",
 "Class" : "SORCERER",
 "Specialisation" : "WILD_MAGIC","UseNumber" : -1,
 "Description" : "Au niveau 14, vous commencez à contrôler vos Sursauts de magie sauvage. À chaque fois que vous faites un jet de Sursaut de magie sauvage (d100), vous pouvez lancez 2 fois les dés et conserver le résultat que vous souhaitez."
  }</v>
      </c>
    </row>
    <row r="172" spans="1:9">
      <c r="A172" s="179" t="s">
        <v>245</v>
      </c>
      <c r="B172" s="182" t="s">
        <v>2868</v>
      </c>
      <c r="C172" s="262" t="s">
        <v>3538</v>
      </c>
      <c r="D172" s="262"/>
      <c r="E172" s="262"/>
      <c r="F172" s="262"/>
      <c r="G172" s="18">
        <v>-1</v>
      </c>
      <c r="H172" s="255" t="s">
        <v>3539</v>
      </c>
      <c r="I172" t="str">
        <f t="shared" si="2"/>
        <v>"WILD_MAGIC-Bombardement de sort":  {
 "Code" : "Bombardement de sort",
 "Class" : "SORCERER",
 "Specialisation" : "WILD_MAGIC","UseNumber" : -1,
 "Description" : "À partir du niveau 18, l'énergie néfaste de vos sorts s'intensifie. Lorsque vous faites un jet de dégâts pour un sort et que vous obtenez la plus haute valeur possible sur au moins un des dés, choisissez l'un de ces dés, relancez-le et ajoutez le résultat au total des dégâts. Vous ne pouvez utiliser cette capacité qu'une fois par tour.  d100	Effet 01-02	Au début de vos prochains tours, refaites un jet de Sursaut de magie sauvage (ignorez ce résultat sur des jets consécutifs). Cet effet dure une minute. 03-04	Pendant une minute, vous pouvez voir toutes les créatures invisibles tant qu'elles sont dans votre champs de vision. 05-06	Un modron (créature artificielle) choisi et contrôlé par le MD apparaît dans un espace inoccupé à 1,50 mètre de vous. Il disparaît une minute plus tard. 07-08	Vous lancez le sort boule de feu de niveau 3 centré sur vous. 09-10	Vous lancez un sort projectile magique de niveau 5. 11-12	Jetez un d10. Votre taille varie de 2,50 cm x le résultat du jet. Si le résultat est paire vous grandissez, s'il est impair, vous rapetissez. 13-14	Vous lancez le sort confusion centré sur vous-même. 15-16	Pendant une minute, vous regagnez 5 points de vie au début de chacun de vos tours. 17-18	Une longue barbe faite de plumes vous pousse soudainement. Celle-ci s'évanouit dans un nuage de plumes lorsque vous éternuez. 19-20	Vous lancez le sort graisse centré sur vous-même. 21-22	Les créatures ont un désavantage à leur jets de sauvegarde contre le prochain sort que vous lancez dans la minute qui suit. 23-24	Votre peau devient bleu. Un sort de délivrance des malédictions peut mettre fin à cet effet. 25-26	Un oeil apparaît sur votre front pendant une minute. Pendant cette durée, vous avez l'avantage à vos jets de Perception (Sagesse) qui se basent sur la vue. 27-28	Pendant une minute, tout vos sorts dont le temps d'incantation est d'1 action ont un temps d'incantation d'1 action bonus. 29-30	Vous vous téléportez à 18 mètres dans un espace inoccupé que vous pouvez voir. 31-32	Vous êtes transporté dans le Plan Astral jusqu'à la fin de votre prochain tour, après quoi vous retournez à votre position d'origine, dans l'espace innocupé le plus proche. 33-34	Le prochain sort que vous lancez dans la minute qui suit fait le maximum de dégâts. 35-36	Jetez un d10. Votre âge varie d'un nombre d'années équivalent au résultat du jet. Si le résultat est pair, vous vieillissez, sinon vous rajeunissez (minimum 1 an). 37-38	1d6 flumphs contrôlés par le MD apparaissent dans un périmètre de 18 mètres et ont peur de vous. Ils disparaissent au bout d'une minute. 39-40	Vous regagnez 2d10 points de vie. 41-42	Vous vous transformez en plante en pot jusqu'au début de votre prochain tour. Sous cette forme, vous êtes incapable d'agir et avez la vulnérabilité à tous les types de dégâts. Si vous tombez à 0 point de vie, votre pot casse et vous retrouvez votre forme d'origine. 43-44	Pendant une minute, vous pouvez utiliser à chaque tour votre action bonus pour vous téléporter dans un rayon de 6 mètres. 45-46	Vous lancez le sort lévitation sur vous. 47-48	Une licorne contrôlée par le MD apparaît à 1,50 mètre de vous puis disparaît une minute plus tard. 49-50	Vous ne pouvez plus parler pendant une minute. A chaque fois que vous essayez, des bulles roses sortent de votre bouche. 51-52	Un bouclier spectral vous entoure pendant une minute, vous faisant bénéficier d'une bonus de +2 à la CA et de l'immunité au sort projectile magique. 53-54	Vous êtes immunisé à l'intoxication par l'alcool pour les 5d6 prochains jours. 55-56	Vos cheveux tombent puis repoussent progressivement durant les prochaines 24 h. 57-58	Pour la prochaine minute, tout objet inflammable que vous touchez qui n'est ni porté ni équipé par une autre créature prend feu. 59-60	Vous regagnez votre emplacement de sort dépensé le plus faible. 61-62	Pendant une minute, vous criez lorsque vous essayez de parler. 63-64	Vous lancez le sort nappe de brouillard centré sur vous-même. 65-66	Jusqu'à 3 créatures, que vous choisissez, situées à 9 mètres ou moins de vous, prennent 4d10 dégâts de foudre. 67-68	Vous êtes effrayé par la créature la plus proche de vous jusqu'à la fin de votre prochain tour. 69-70	Toutes les créatures dans un rayon de 9 mètres deviennent invisibles pendant une minute. L'invisibilité prend fin lorsque la créature attaque ou lance un sort. 71-72	Vous obtenez la résistance à tous les dégâts pendant une minute. 73-74	Une créature aléatoire située dans un rayon de 18 mètres est empoisonnée pendant 1d4 heures. 75-76	Vous vous mettez à briller dans un rayon de 9 mètres pendant une minute. Toute créature finissant son tour à 1,50 mètre de vous est aveuglée jusqu'à la fin de son prochain tour. 77-78	Vous lancez le sort métamorphose sur vous-même. Si vous ratez votre jet de sauvegarde, vous vous transformez en mouton pour la durée du sort. 79-80	Des illusions de papillons et de pétales de fleur flottent autour de vous dans un rayon de 3 mètres pendant une minute. 81-82	Vous obtenez 1 action supplémentaire immédiatement. 83-84	Toutes les créatures à 9 mètres ou moins prennent 1d10 de dégâts nécrotiques. Vous regagnez autant de points de vie que de dégâts infligés. 85-86	Vous lancez le sort image miroir. 87-88	Vous lancez le sort vol sur une créature aléatoire dans un rayon de 18 mètres. 89-90	Vous devenez invisible pendant une minute. Pendant ce temps, les autres créatures ne peuvent pas vous entendre. L'invisibilité prend fin lorsque vous attaquez ou lancez un sort. 91-92	Si vous mourrez dans la minute qui suit, vous revenez immédiatement à la vie comme si vous étiez touché par le sort résurrection. 93-94	Votre taille augmente d'une catégorie pendant une minute. 95-96	Vous et toutes les créatures dans un rayon de 9 mètres obtenez la vulnérabilité aux dégâts perforants pendant une minute. 97-98	Vous êtes entouré d'une faible musique éthérée pendant une minute. 99-100	Vous regagnez tous vos points de sorcellerie."
  }</v>
      </c>
    </row>
    <row r="173" spans="1:9">
      <c r="A173" s="264" t="s">
        <v>246</v>
      </c>
      <c r="B173" s="266"/>
      <c r="C173" s="259" t="s">
        <v>3540</v>
      </c>
      <c r="D173" s="259"/>
      <c r="E173" s="259"/>
      <c r="F173" s="259"/>
      <c r="G173" s="18">
        <v>-1</v>
      </c>
      <c r="H173" s="267" t="s">
        <v>3541</v>
      </c>
      <c r="I173" t="str">
        <f t="shared" si="2"/>
        <v>"WARRIOR-Second souffle":  {
 "Code" : "Second souffle",
 "Class" : "WARRIOR",
 "Specialisation" : "","UseNumber" : -1,
 "Description" : "Vous possédez une réserve d'endurance limitée dans laquelle vous pouvez puiser pour vous protéger contre les dégâts. À votre tour vous pouvez utiliser une action bonus pour regagner un nombre de pv égal à 1d10 + votre niveau de guerrier. Une fois cette capacité utilisée, vous devez terminer un repos court ou long pour pouvoir l'utiliser de nouveau."
  }</v>
      </c>
    </row>
    <row r="174" spans="1:9">
      <c r="A174" s="75" t="s">
        <v>246</v>
      </c>
      <c r="B174" s="55"/>
      <c r="C174" s="258" t="s">
        <v>2830</v>
      </c>
      <c r="D174" s="258" t="s">
        <v>2807</v>
      </c>
      <c r="E174" s="258"/>
      <c r="F174" s="258"/>
      <c r="G174" s="18"/>
      <c r="H174" s="260" t="s">
        <v>3908</v>
      </c>
      <c r="I174" t="str">
        <f t="shared" si="2"/>
        <v>"WARRIOR-Style de combat":  {
 "Code" : "Style de combat",
 "Class" : "WARRIOR",
 "Specialisation" : "","Stats" : true,
 "Description" : "Vous adoptez un style particulier de combat qui sera votre spécialité. Choisissez l'une des options suivantes. Vous ne pouvez pas prendre une option de style de combat plus d'une fois, même si vous obtenez plus tard la possibilité de choisir un nouveau style."
  }</v>
      </c>
    </row>
    <row r="175" spans="1:9">
      <c r="A175" s="75" t="s">
        <v>246</v>
      </c>
      <c r="B175" s="55"/>
      <c r="C175" s="258" t="s">
        <v>3909</v>
      </c>
      <c r="D175" s="258" t="s">
        <v>2807</v>
      </c>
      <c r="E175" s="258"/>
      <c r="F175" s="258"/>
      <c r="G175" s="18"/>
      <c r="H175" s="260" t="s">
        <v>3910</v>
      </c>
      <c r="I175" t="str">
        <f t="shared" si="2"/>
        <v>"WARRIOR-Archétype martial":  {
 "Code" : "Archétype martial",
 "Class" : "WARRIOR",
 "Specialisation" : "","Stats" : true,
 "Description" : "Au niveau 3, choisissez un archétype que vous vous efforcez d'imiter dans vos styles et techniques de combat. Votre archétype vous accorde des capacités spéciales au niveau 3 puis de nouvelles aux niveaux 7, 10, 15 et 18. Voir Archétypes martiaux ci-dessous."
  }</v>
      </c>
    </row>
    <row r="176" spans="1:9">
      <c r="A176" s="75" t="s">
        <v>246</v>
      </c>
      <c r="B176" s="55"/>
      <c r="C176" s="258" t="s">
        <v>3542</v>
      </c>
      <c r="D176" s="258"/>
      <c r="E176" s="258"/>
      <c r="F176" s="258"/>
      <c r="G176" s="18">
        <v>-1</v>
      </c>
      <c r="H176" s="260" t="s">
        <v>3543</v>
      </c>
      <c r="I176" t="str">
        <f t="shared" si="2"/>
        <v>"WARRIOR-Sursaut":  {
 "Code" : "Sursaut",
 "Class" : "WARRIOR",
 "Specialisation" : "","UseNumber" : -1,
 "Description" : "À partir du niveau 2, à votre tour, vous pouvez réaliser une action supplémentaire en plus de votre action normale et de votre éventuelle action bonus. Une fois cette capacité utilisée, vous devez terminer un repos court ou long pour pouvoir l'utiliser de nouveau. À partir du niveau 17, vous pouvez utiliser cette capacité deux fois entre deux repos, mais une seule fois par tour."
  }</v>
      </c>
    </row>
    <row r="177" spans="1:9">
      <c r="A177" s="75" t="s">
        <v>246</v>
      </c>
      <c r="B177" s="18"/>
      <c r="C177" s="258" t="s">
        <v>167</v>
      </c>
      <c r="D177" s="258" t="s">
        <v>2807</v>
      </c>
      <c r="E177" s="258"/>
      <c r="F177" s="258"/>
      <c r="G177" s="18"/>
      <c r="H177" s="260" t="s">
        <v>3544</v>
      </c>
      <c r="I177" t="str">
        <f t="shared" si="2"/>
        <v>"WARRIOR-Amélioration de caractéristiques":  {
 "Code" : "Amélioration de caractéristiques",
 "Class" : "WARRIOR",
 "Specialisation" : "","Stats" : true,
 "Description" : "Au niveau 4, puis par la suite aux niveaux 6, 8, 12, 14, 16 et 19, vous pouvez augmenter une valeur de caractéristique de votre choix de +2, ou bien augmenter deux valeurs de caractéristique de votre choix de +1. Vous ne pouvez cependant pas augmenter une caractéristique au-delà de 20 par ce biais."
  }</v>
      </c>
    </row>
    <row r="178" spans="1:9">
      <c r="A178" s="75" t="s">
        <v>246</v>
      </c>
      <c r="B178" s="18"/>
      <c r="C178" s="258" t="s">
        <v>194</v>
      </c>
      <c r="D178" s="258"/>
      <c r="E178" s="258"/>
      <c r="F178" s="258"/>
      <c r="G178" s="18">
        <v>-1</v>
      </c>
      <c r="H178" s="260" t="s">
        <v>3545</v>
      </c>
      <c r="I178" t="str">
        <f t="shared" si="2"/>
        <v>"WARRIOR-Attaque supplémentaire":  {
 "Code" : "Attaque supplémentaire",
 "Class" : "WARRIOR",
 "Specialisation" : "","UseNumber" : -1,
 "Description" : "À partir du niveau 5, vous pouvez attaquer deux fois, au lieu d'une seule, chaque fois que vous réalisez l’action Attaquer durant votre tour. Le nombre d'attaques augmente à trois lorsque vous atteignez le niveau 11 dans cette classe et à quatre lorsque vous atteignez le niveau 20 dans cette classe."
  }</v>
      </c>
    </row>
    <row r="179" spans="1:9">
      <c r="A179" s="274" t="s">
        <v>246</v>
      </c>
      <c r="B179" s="270"/>
      <c r="C179" s="272" t="s">
        <v>3546</v>
      </c>
      <c r="D179" s="272"/>
      <c r="E179" s="272"/>
      <c r="F179" s="272"/>
      <c r="G179" s="18">
        <v>-1</v>
      </c>
      <c r="H179" s="277" t="s">
        <v>3547</v>
      </c>
      <c r="I179" t="str">
        <f t="shared" si="2"/>
        <v>"WARRIOR-Indomptable":  {
 "Code" : "Indomptable",
 "Class" : "WARRIOR",
 "Specialisation" : "","UseNumber" : -1,
 "Description" : "À partir du niveau 9, vous pouvez relancer un jet de sauvegarde que vous avez raté. Si vous le faites, vous devez obligatoirement utiliser le nouveau résultat, et ne pouvez pas utiliser de nouveau cette capacité avant d'avoir terminé un repos long. Vous pouvez utiliser cette capacité deux fois entre deux repos longs à partir du niveau 13 et trois fois entre deux repos longs à partir du niveau 17."
  }</v>
      </c>
    </row>
    <row r="180" spans="1:9">
      <c r="A180" s="75" t="s">
        <v>246</v>
      </c>
      <c r="B180" s="240" t="s">
        <v>3239</v>
      </c>
      <c r="C180" s="258" t="s">
        <v>3548</v>
      </c>
      <c r="D180" s="258"/>
      <c r="E180" s="258"/>
      <c r="F180" s="258"/>
      <c r="G180" s="18">
        <v>-1</v>
      </c>
      <c r="H180" s="260" t="s">
        <v>3549</v>
      </c>
      <c r="I180" t="str">
        <f t="shared" si="2"/>
        <v>"CHAMPION-Critique amélioré":  {
 "Code" : "Critique amélioré",
 "Class" : "WARRIOR",
 "Specialisation" : "CHAMPION","UseNumber" : -1,
 "Description" : "À partir du niveau 3, vos attaques avec des armes sont considérées comme un coup critique sur un jet naturel de 19 ou 20."
  }</v>
      </c>
    </row>
    <row r="181" spans="1:9">
      <c r="A181" s="75" t="s">
        <v>246</v>
      </c>
      <c r="B181" s="240" t="s">
        <v>3239</v>
      </c>
      <c r="C181" s="258" t="s">
        <v>3550</v>
      </c>
      <c r="D181" s="258"/>
      <c r="E181" s="258"/>
      <c r="F181" s="258"/>
      <c r="G181" s="18">
        <v>-1</v>
      </c>
      <c r="H181" s="260" t="s">
        <v>3551</v>
      </c>
      <c r="I181" t="str">
        <f t="shared" si="2"/>
        <v>"CHAMPION-Athlète remarquable":  {
 "Code" : "Athlète remarquable",
 "Class" : "WARRIOR",
 "Specialisation" : "CHAMPION","UseNumber" : -1,
 "Description" : "À partir du niveau 7, vous pouvez ajouter la moitié de votre bonus de maîtrise (arrondi au supérieur) à tout jet de Force, Dextérité ou Constitution que vous effectuez et qui n'utilise pas déjà ce bonus de maîtrise. En outre, lorsque vous effectuez un saut en longueur, la distance que vous pouvez couvrir augmente d'une distance égale à votre modificateur de Force x 30 cm."
  }</v>
      </c>
    </row>
    <row r="182" spans="1:9">
      <c r="A182" s="75" t="s">
        <v>246</v>
      </c>
      <c r="B182" s="240" t="s">
        <v>3239</v>
      </c>
      <c r="C182" s="258" t="s">
        <v>3552</v>
      </c>
      <c r="D182" s="258" t="s">
        <v>2807</v>
      </c>
      <c r="E182" s="258"/>
      <c r="F182" s="258"/>
      <c r="G182" s="18"/>
      <c r="H182" s="260" t="s">
        <v>3553</v>
      </c>
      <c r="I182" t="str">
        <f t="shared" si="2"/>
        <v>"CHAMPION-Style de combat supplémentaire":  {
 "Code" : "Style de combat supplémentaire",
 "Class" : "WARRIOR",
 "Specialisation" : "CHAMPION","Stats" : true,
 "Description" : "Au niveau 10, vous pouvez choisir une deuxième option pour la capacité de Style de combat."
  }</v>
      </c>
    </row>
    <row r="183" spans="1:9">
      <c r="A183" s="75" t="s">
        <v>246</v>
      </c>
      <c r="B183" s="240" t="s">
        <v>3239</v>
      </c>
      <c r="C183" s="258" t="s">
        <v>3554</v>
      </c>
      <c r="D183" s="258"/>
      <c r="E183" s="258"/>
      <c r="F183" s="258"/>
      <c r="G183" s="18">
        <v>-1</v>
      </c>
      <c r="H183" s="260" t="s">
        <v>3555</v>
      </c>
      <c r="I183" t="str">
        <f t="shared" si="2"/>
        <v>"CHAMPION-Critique supérieur":  {
 "Code" : "Critique supérieur",
 "Class" : "WARRIOR",
 "Specialisation" : "CHAMPION","UseNumber" : -1,
 "Description" : "À partir du niveau 15, vos attaques avec des armes sont considérées comme un coup critique sur un jet naturel de 18, 19 ou 20."
  }</v>
      </c>
    </row>
    <row r="184" spans="1:9">
      <c r="A184" s="274" t="s">
        <v>246</v>
      </c>
      <c r="B184" s="278" t="s">
        <v>3239</v>
      </c>
      <c r="C184" s="272" t="s">
        <v>3556</v>
      </c>
      <c r="D184" s="272"/>
      <c r="E184" s="272"/>
      <c r="F184" s="272"/>
      <c r="G184" s="18">
        <v>-1</v>
      </c>
      <c r="H184" s="277" t="s">
        <v>3557</v>
      </c>
      <c r="I184" t="str">
        <f t="shared" si="2"/>
        <v>"CHAMPION-Survivant":  {
 "Code" : "Survivant",
 "Class" : "WARRIOR",
 "Specialisation" : "CHAMPION","UseNumber" : -1,
 "Description" : "À partir du niveau 18, au début de chacun de vos tours, vous récupérez un nombre de points de vie égal à 5 + votre modificateur de Constitution s'il ne vous reste pas plus de la moitié de vos points de vie initiaux. Vous ne gagnez pas cet avantage si vous êtes à 0 point de vie."
  }</v>
      </c>
    </row>
    <row r="185" spans="1:9">
      <c r="A185" s="75" t="s">
        <v>246</v>
      </c>
      <c r="B185" s="240" t="s">
        <v>3241</v>
      </c>
      <c r="C185" s="256" t="s">
        <v>3558</v>
      </c>
      <c r="D185" s="256"/>
      <c r="E185" s="256"/>
      <c r="F185" s="256"/>
      <c r="G185" s="18">
        <v>-1</v>
      </c>
      <c r="H185" s="251" t="s">
        <v>3559</v>
      </c>
      <c r="I185" t="str">
        <f t="shared" si="2"/>
        <v>"WAR_MASTER-Supériorité au combat":  {
 "Code" : "Supériorité au combat",
 "Class" : "WARRIOR",
 "Specialisation" : "WAR_MASTER","UseNumber" : -1,
 "Description" : "Quand vous choisissez cet archétype au niveau 3, vous apprenez des manœuvres qui utilisent des dés spéciaux nommés « dés de supériorité ».  Manœuvres. Vous apprenez trois manœuvres de votre choix, qui sont détaillées dans « Manœuvres » plus bas. Chaque manœuvre améliore une attaque d'une certaine manière. Vous ne pouvez utiliser qu'une seule manœuvre par attaque. Vous apprenez deux manœuvres additionnelles de votre choix au niveau 7, 10 et 15. Chaque fois que vous apprenez une nouvelle manœuvre, vous pouvez aussi remplacer une manœuvre déjà connue par une nouvelle.  Dés de supériorité. Vous avez quatre dés de supériorité, qui sont des d8. Un dé de supériorité est dépensé quand vous l’utilisez. Vous regagnez tous vos dés de supériorité dépensés lorsque vous terminez un repos court ou long. Vous gagnez un dé de supériorité supplémentaire au niveau 7 ainsi qu’au niveau 15.  Jets de sauvegarde. Certaines de vos manœuvres requièrent de votre cible un jet de sauvegarde pour résister à ses effets. Le DD de ce jet de sauvegarde est :  DD du jet de sauvegarde contre la manœuvre = 8 + votre bonus de maîtrise + votre modificateur de Force ou de Dextérité (au choix)"
  }</v>
      </c>
    </row>
    <row r="186" spans="1:9">
      <c r="A186" s="75" t="s">
        <v>246</v>
      </c>
      <c r="B186" s="240" t="s">
        <v>3241</v>
      </c>
      <c r="C186" s="258" t="s">
        <v>3560</v>
      </c>
      <c r="D186" s="258" t="s">
        <v>2807</v>
      </c>
      <c r="E186" s="258"/>
      <c r="F186" s="258"/>
      <c r="G186" s="18"/>
      <c r="H186" s="260" t="s">
        <v>3561</v>
      </c>
      <c r="I186" t="str">
        <f t="shared" si="2"/>
        <v>"WAR_MASTER-Étudiant de guerre":  {
 "Code" : "Étudiant de guerre",
 "Class" : "WARRIOR",
 "Specialisation" : "WAR_MASTER","Stats" : true,
 "Description" : "Au niveau 3, vous gagnez la maîtrise d'un outil d'artisan de votre choix."
  }</v>
      </c>
    </row>
    <row r="187" spans="1:9">
      <c r="A187" s="75" t="s">
        <v>246</v>
      </c>
      <c r="B187" s="240" t="s">
        <v>3241</v>
      </c>
      <c r="C187" s="258" t="s">
        <v>3562</v>
      </c>
      <c r="D187" s="258"/>
      <c r="E187" s="258"/>
      <c r="F187" s="258"/>
      <c r="G187" s="18">
        <v>-1</v>
      </c>
      <c r="H187" s="251" t="s">
        <v>3563</v>
      </c>
      <c r="I187" t="str">
        <f t="shared" si="2"/>
        <v>"WAR_MASTER-Connaître son ennemi":  {
 "Code" : "Connaître son ennemi",
 "Class" : "WARRIOR",
 "Specialisation" : "WAR_MASTER","UseNumber" : -1,
 "Description" : "À partir du niveau 7, si vous passez au moins 1 minute à observer ou à interagir avec une créature en n'étant pas engagé dans un combat, vous pouvez apprendre certaines informations à propos de ses capacités comparées aux vôtres. Le MD vous dit si la créature est égale, supérieure ou inférieure à vous par rapport à deux des caractéristiques suivantes de votre choix :  Force Dextérité Constitution classe d'armure points de vie actuels total des niveaux de classe (le cas échéant) niveau de guerrier (le cas échéant)"
  }</v>
      </c>
    </row>
    <row r="188" spans="1:9">
      <c r="A188" s="75" t="s">
        <v>246</v>
      </c>
      <c r="B188" s="240" t="s">
        <v>3241</v>
      </c>
      <c r="C188" s="258" t="s">
        <v>3564</v>
      </c>
      <c r="D188" s="258"/>
      <c r="E188" s="258"/>
      <c r="F188" s="258"/>
      <c r="G188" s="18">
        <v>-1</v>
      </c>
      <c r="H188" s="260" t="s">
        <v>3565</v>
      </c>
      <c r="I188" t="str">
        <f t="shared" si="2"/>
        <v>"WAR_MASTER-Supériorité au combat améliorée":  {
 "Code" : "Supériorité au combat améliorée",
 "Class" : "WARRIOR",
 "Specialisation" : "WAR_MASTER","UseNumber" : -1,
 "Description" : "À partir du niveau 10, vos dés de supériorité deviennent des d10. À partir du niveau 18 ils deviennent des d12."
  }</v>
      </c>
    </row>
    <row r="189" spans="1:9">
      <c r="A189" s="75" t="s">
        <v>246</v>
      </c>
      <c r="B189" s="240" t="s">
        <v>3241</v>
      </c>
      <c r="C189" s="258" t="s">
        <v>3566</v>
      </c>
      <c r="D189" s="258"/>
      <c r="E189" s="258"/>
      <c r="F189" s="258"/>
      <c r="G189" s="18">
        <v>-1</v>
      </c>
      <c r="H189" s="260" t="s">
        <v>3567</v>
      </c>
      <c r="I189" t="str">
        <f t="shared" si="2"/>
        <v>"WAR_MASTER-Implacable":  {
 "Code" : "Implacable",
 "Class" : "WARRIOR",
 "Specialisation" : "WAR_MASTER","UseNumber" : -1,
 "Description" : "À partir du niveau 15, si lorsque vous lancez votre jet d’initiative vous n’avez plus de dés de supériorité disponibles, vous en regagnez un."
  }</v>
      </c>
    </row>
    <row r="190" spans="1:9">
      <c r="A190" s="274" t="s">
        <v>246</v>
      </c>
      <c r="B190" s="278" t="s">
        <v>3241</v>
      </c>
      <c r="C190" s="272" t="s">
        <v>3568</v>
      </c>
      <c r="D190" s="272"/>
      <c r="E190" s="272"/>
      <c r="F190" s="272"/>
      <c r="G190" s="18">
        <v>-1</v>
      </c>
      <c r="H190" s="271" t="s">
        <v>3569</v>
      </c>
      <c r="I190" t="str">
        <f t="shared" si="2"/>
        <v>"WAR_MASTER-Manœuvres":  {
 "Code" : "Manœuvres",
 "Class" : "WARRIOR",
 "Specialisation" : "WAR_MASTER","UseNumber" : -1,
 "Description" : "Attaque de manœuvre. Si vous touchez une créature lors d'une attaque avec une arme, vous pouvez dépenser un dé de supériorité pour placer l’un de vos alliés dans une position avantageuse. Ajoutez votre dé de supériorité aux dégâts et choisissez une créature amicale qui peut vous voir ou vous entendre. Cette créature pourra utiliser sa réaction pour se déplacer de la moitié de sa vitesse sans provoquer d'attaque d’opportunité de la part de la cible de votre attaque.  Attaque menaçante. Si vous touchez une créature lors d'une attaque avec une arme, vous pouvez dépenser un dé de supériorité pour tenter d’effrayer la cible. Ajoutez votre dé de supériorité aux dégâts, et la cible doit faire un jet de sauvegarde de Sagesse. En cas d'échec, la cible est effrayée jusqu'à la fin de votre prochain tour.  Attaque précise. Si vous réalisez une attaque avec une arme, vous pouvez dépenser un dé de supériorité et l’ajouter au jet d'attaque. Vous pouvez utiliser cette manœuvre avant ou après avoir lancé le jet d'attaque, mais avant qu'un quelconque effet de l'attaque ne s'applique.  Balayage. Si vous touchez une créature lors d'une attaque avec une arme au corps à corps, vous pouvez dépenser un dé de supériorité pour tenter de frapper une autre créature avec la même attaque. Choisissez une autre créature dans un rayon de 1,50 mètre autour de la cible originale et à votre portée. Si votre jet d'attaque contre votre première cible permet également de toucher la seconde, vous infligez à cette dernière les dégâts de votre dé de supériorité. Les dégâts seront du même type sur ceux de la première attaque.  Croche-pied. Si vous touchez une créature lors d'une attaque avec une arme, vous pouvez utiliser un dé de supériorité pour tenter de mettre votre cible à terre. Ajoutez votre dé de supériorité aux dégâts, et si la cible est de taille G ou plus petite elle devra faire un jet de sauvegarde de Force. En cas d’échec, votre cible tombe à terre.  Désarmement. Si vous touchez une créature lors d'une attaque avec une arme, vous pouvez dépenser un dé de supériorité pour tenter de désarmer la cible, la forçant à lâcher un objet de votre choix qu’elle a en main. Vous ajoutez le dé de supériorité aux dégâts de l’attaque, et la cible doit faire un jet de sauvegarde de Force. En cas d’échec, elle lâche l’objet que vous avez désigné. L’objet tombe à ses pieds.  Distraction. Si vous touchez une créature lors d'une attaque avec une arme, vous pouvez dépenser un dé de supériorité pour distraire la créature et provoquer une ouverture pour vos alliés. Ajoutez votre dé de supériorité à vos dégâts. La prochaine attaque contre votre cible aura l'avantage si ce n’est pas vous qui frappez et si elle est faite avant le début de votre prochain tour.  Feinte. Vous pouvez dépenser un dé de supériorité et utiliser une action bonus à votre tour pour faire une feinte, ciblant une créature dans un rayon de 1,50 mètre autour de vous. Vous avez l'avantage à votre prochain jet d'attaque contre cette créature durant ce tour. Si cette attaque touche, ajoutez votre dé de supériorité aux dégâts. L'avantage est perdu si vous ne l'utilisez pas durant le tour où vous l'avez obtenu.  Fente. Si vous réalisez une attaque avec une arme au corps à corps durant votre tour, vous pouvez dépenser un dé de supériorité pour augmenter l'allonge de votre frappe de 1,50 mètre. Si vous touchez, ajoutez votre dé de supériorité aux dégâts.  Frappe dirigée. Si vous utilisez votre action Attaquer à votre tour, vous pouvez renoncer à l’une de vos attaques et utiliser une action bonus pour diriger l’un de vos compagnons dans sa frappe. Choisissez une créature amicale qui peut vous voir ou vous entendre et utilisez un dé de supériorité. Cette créature peut immédiatement utiliser sa réaction pour faire une attaque avec une arme, en ajoutant le dé de supériorité aux dégâts.  Jeu de jambes défensif. Si vous effectuez un déplacement, vous pouvez dépenser un dé de supériorité, jeter le dé et ajouter le résultat à votre CA jusqu'à la fin de votre déplacement.  Parade. Si une créature vous touche avec une attaque au corps à corps, vous pouvez utiliser votre réaction et un dé de supériorité pour réduire les dégâts d'un montant égal à votre résultat au dé de supériorité + votre modificateur de Dextérité.  Provocation. Si vous touchez une créature lors d'une attaque avec une arme, vous pouvez dépenser un dé de supériorité pour tenter d’inciter la cible à vous attaquer. Ajoutez votre dé de supériorité aux dégâts, et la cible doit faire un jet de sauvegarde de Sagesse. En cas d’échec, la cible a un désavantage à tous ses jets d’attaque contre d’autre cible que vous jusqu’à la fin de votre prochain tour.  Rallier. À votre tour, vous pouvez utiliser une action bonus et un dé de supériorité pour renforcer la volonté d’un de vos alliés. Dans ce cas, choisissez un allié qui peut vous voir ou vous entendre. Cette créature gagne un nombre de pv temporaires égal au résultat du dé de supériorité + votre modificateur de Charisme.  Repousser. Si vous touchez une créature lors d'une attaque avec une arme, vous pouvez dépenser un dé de supériorité pour tenter de repousser la cible. Ajoutez votre dé de supériorité aux dégâts, et si la cible est de taille G ou plus petite, elle devra faire un jet de sauvegarde de Force. En cas d’échec, vous repoussez la cible à 4,50 mètres de vous.  Riposte. Si une créature vous rate lors d'une attaque au corps à corps, vous pouvez utiliser votre réaction et un dé de supériorité pour faire une attaque avec une arme au corps à corps contre cette créature. Si vous touchez, ajoutez votre dé de supériorité aux dégâts."
  }</v>
      </c>
    </row>
    <row r="191" spans="1:9">
      <c r="A191" s="75" t="s">
        <v>246</v>
      </c>
      <c r="B191" s="240" t="s">
        <v>3242</v>
      </c>
      <c r="C191" s="258" t="s">
        <v>3570</v>
      </c>
      <c r="D191" s="258" t="s">
        <v>2807</v>
      </c>
      <c r="E191" s="258" t="s">
        <v>2807</v>
      </c>
      <c r="F191" s="258"/>
      <c r="G191" s="18"/>
      <c r="H191" s="251" t="s">
        <v>3571</v>
      </c>
      <c r="I191" t="str">
        <f t="shared" si="2"/>
        <v>"OCCULT_KNIGHT-Incantations":  {
 "Code" : "Incantations",
 "Class" : "WARRIOR",
 "Specialisation" : "OCCULT_KNIGHT","Stats" : true,"Auto" : true,
 "Description" : "Lorsque vous atteignez le niveau 3, vous augmentez vos prouesses martiales avec la possibilité de lancer des sorts.  Sorts mineurs. Vous apprenez deux sorts mineurs de votre choix dans la liste de sorts de magicien. Vous apprenez un autre sort mineur de votre choix au niveau 10.  Sorts connus de niveau 1 et supérieur. Vous connaissez trois sorts de magicien de niveau 1 de votre choix, dont deux que vous devez choisir dans les écoles d'abjuration et d'évocation. La colonne Sorts connus indique à quel niveau vous apprenez plus de sorts de magicien de niveau 1 ou supérieur. Chacun de ces sorts doit être des écoles d’abjuration ou d’évocation,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d’abjuration ou d‘évocation, à moins que vous ne remplaciez le sort que vous avez acquis au niveau 3, 8, 14 ou 20 de n'importe quelle école de magie.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v>
      </c>
    </row>
    <row r="192" spans="1:9">
      <c r="A192" s="75" t="s">
        <v>246</v>
      </c>
      <c r="B192" s="240" t="s">
        <v>3242</v>
      </c>
      <c r="C192" s="258" t="s">
        <v>3572</v>
      </c>
      <c r="D192" s="258"/>
      <c r="E192" s="258"/>
      <c r="F192" s="258"/>
      <c r="G192" s="18">
        <v>-1</v>
      </c>
      <c r="H192" s="251" t="s">
        <v>3573</v>
      </c>
      <c r="I192" t="str">
        <f t="shared" si="2"/>
        <v>"OCCULT_KNIGHT-Lien avec une arme":  {
 "Code" : "Lien avec une arme",
 "Class" : "WARRIOR",
 "Specialisation" : "OCCULT_KNIGHT","UseNumber" : -1,
 "Description" : "Au niveau 3, vous apprenez un rituel qui crée un lien magique entre vous et une arme. Vous effectuez le rituel pendant 1 heure, ce qui peut être effectué pendant un repos court. L'arme doit être à votre portée tout au long du rituel, à l'issue duquel vous touchez l'arme et forgez le lien. Une fois que vous vous êtes lié avec une arme, vous ne pouvez pas être désarmé de cette arme, sauf si vous êtes incapable d'agir. Si l'arme se trouve sur le même plan d'existence que vous, vous pouvez invoquer cette arme par une action bonus à votre tour, l'amenant à se téléporter instantanément dans votre main. Vous pouvez être lié à un maximum de deux armes, mais ne pouvez en invoquer qu'une seule à la fois avec votre action bonus. Si vous essayez de vous lier à une troisième arme, vous devez rompre le lien avec l'une des deux autres."
  }</v>
      </c>
    </row>
    <row r="193" spans="1:9">
      <c r="A193" s="75" t="s">
        <v>246</v>
      </c>
      <c r="B193" s="240" t="s">
        <v>3242</v>
      </c>
      <c r="C193" s="258" t="s">
        <v>3574</v>
      </c>
      <c r="D193" s="258"/>
      <c r="E193" s="258"/>
      <c r="F193" s="258"/>
      <c r="G193" s="18">
        <v>-1</v>
      </c>
      <c r="H193" s="251" t="s">
        <v>3575</v>
      </c>
      <c r="I193" t="str">
        <f t="shared" si="2"/>
        <v>"OCCULT_KNIGHT-Magie de guerre":  {
 "Code" : "Magie de guerre",
 "Class" : "WARRIOR",
 "Specialisation" : "OCCULT_KNIGHT","UseNumber" : -1,
 "Description" : "À partir du niveau 7, lorsque vous utilisez votre action pour lancer un sort mineur, vous pouvez effectuer une attaque avec une arme en tant qu'action bonus."
  }</v>
      </c>
    </row>
    <row r="194" spans="1:9">
      <c r="A194" s="75" t="s">
        <v>246</v>
      </c>
      <c r="B194" s="240" t="s">
        <v>3242</v>
      </c>
      <c r="C194" s="258" t="s">
        <v>3576</v>
      </c>
      <c r="D194" s="258"/>
      <c r="E194" s="258"/>
      <c r="F194" s="258"/>
      <c r="G194" s="18">
        <v>-1</v>
      </c>
      <c r="H194" s="251" t="s">
        <v>3577</v>
      </c>
      <c r="I194" t="str">
        <f t="shared" si="2"/>
        <v>"OCCULT_KNIGHT-Frappe occulte":  {
 "Code" : "Frappe occulte",
 "Class" : "WARRIOR",
 "Specialisation" : "OCCULT_KNIGHT","UseNumber" : -1,
 "Description" : "Au niveau 10, vous apprenez comment passer la résistance à vos sorts d'une créature, grâce à votre attaque avec une arme. Lorsque vous touchez une créature avec une attaque d'arme, cette créature a un désavantage au prochain jet de sauvegarde contre un sort que vous lancez avant la fin de votre prochain tour."
  }</v>
      </c>
    </row>
    <row r="195" spans="1:9">
      <c r="A195" s="75" t="s">
        <v>246</v>
      </c>
      <c r="B195" s="240" t="s">
        <v>3242</v>
      </c>
      <c r="C195" s="258" t="s">
        <v>3578</v>
      </c>
      <c r="D195" s="258"/>
      <c r="E195" s="258"/>
      <c r="F195" s="258"/>
      <c r="G195" s="18">
        <v>-1</v>
      </c>
      <c r="H195" s="251" t="s">
        <v>3579</v>
      </c>
      <c r="I195" t="str">
        <f t="shared" ref="I195:I258" si="3">""""&amp;IF(ISBLANK(B195),A195,B195)&amp;"-"&amp;C195&amp;""":  {
 ""Code"" : """&amp;C195&amp;""",
 ""Class"" : """&amp;A195&amp;""",
 ""Specialisation"" : """&amp;B195&amp;""","
 &amp;IF(ISBLANK(D195),"", """Stats"" : "&amp;D195&amp;",")
 &amp;IF(ISBLANK(E195),"", """Auto"" : "&amp;E195&amp;",")
 &amp;IF(ISBLANK(G195),"", """UseNumber"" : "&amp;G195&amp;",")
 &amp;IF(ISBLANK(F195),"", """Special"" : "&amp;F195&amp;",")&amp;"
 ""Description"" : """&amp;SUBSTITUTE(H195,CHAR(10)," ")&amp;"""
  }"</f>
        <v>"OCCULT_KNIGHT-Charge arcanique":  {
 "Code" : "Charge arcanique",
 "Class" : "WARRIOR",
 "Specialisation" : "OCCULT_KNIGHT","UseNumber" : -1,
 "Description" : "Au niveau 15, vous gagnez la capacité de vous téléporter jusqu'à 9 mètres dans un espace inoccupé que vous pouvez voir, lorsque vous utilisez votre Sursaut. Vous pouvez vous téléporter avant ou après l'action supplémentaire."
  }</v>
      </c>
    </row>
    <row r="196" spans="1:9">
      <c r="A196" s="179" t="s">
        <v>246</v>
      </c>
      <c r="B196" s="244" t="s">
        <v>3242</v>
      </c>
      <c r="C196" s="262" t="s">
        <v>3580</v>
      </c>
      <c r="D196" s="262"/>
      <c r="E196" s="262"/>
      <c r="F196" s="262"/>
      <c r="G196" s="18">
        <v>-1</v>
      </c>
      <c r="H196" s="255" t="s">
        <v>3581</v>
      </c>
      <c r="I196" t="str">
        <f t="shared" si="3"/>
        <v>"OCCULT_KNIGHT-Magie de guerre améliorée":  {
 "Code" : "Magie de guerre améliorée",
 "Class" : "WARRIOR",
 "Specialisation" : "OCCULT_KNIGHT","UseNumber" : -1,
 "Description" : "À partir du niveau 18, lorsque vous utilisez votre action pour lancer un sort, vous pouvez effectuez une attaque avec une arme en tant qu'action bonus."
  }</v>
      </c>
    </row>
    <row r="197" spans="1:9">
      <c r="A197" s="264" t="s">
        <v>247</v>
      </c>
      <c r="B197" s="268"/>
      <c r="C197" s="259" t="s">
        <v>3582</v>
      </c>
      <c r="D197" s="259"/>
      <c r="E197" s="259"/>
      <c r="F197" s="259"/>
      <c r="G197" s="18">
        <v>-1</v>
      </c>
      <c r="H197" s="250" t="s">
        <v>3583</v>
      </c>
      <c r="I197" t="str">
        <f t="shared" si="3"/>
        <v>"MAGICIAN-Récupération arcanique":  {
 "Code" : "Récupération arcanique",
 "Class" : "MAGICIAN",
 "Specialisation" : "","UseNumber" : -1,
 "Description" : "Vous avez appris à regagner une partie de votre énergie magique par l'étude de votre grimoire. Une fois par jour, lorsque vous terminez un repos court, vous pouvez choisir des emplacements de sorts dépensés à récupérer. Les emplacements de sorts peuvent avoir un niveau combiné égal ou inférieur à la moitié de votre niveau de magicien (arrondi au supérieur), et aucun de ces emplacements ne peut être de niveau 6 ou supérieur.  Par exemple, si vous êtes un magicien de niveau 4, vous pouvez récupérer jusqu'à l'équivalent de deux niveaux d'emplacements de sorts. Vous pouvez récupérer soit un emplacement de sort de niveau 2 ou deux emplacements de sorts de niveau 1."
  }</v>
      </c>
    </row>
    <row r="198" spans="1:9">
      <c r="A198" s="75" t="s">
        <v>247</v>
      </c>
      <c r="B198" s="240"/>
      <c r="C198" s="258" t="s">
        <v>3899</v>
      </c>
      <c r="D198" s="258" t="s">
        <v>2807</v>
      </c>
      <c r="E198" s="258"/>
      <c r="F198" s="258"/>
      <c r="G198" s="18"/>
      <c r="H198" s="251" t="s">
        <v>3900</v>
      </c>
      <c r="I198" t="str">
        <f t="shared" si="3"/>
        <v>"MAGICIAN-Tradition arcanique":  {
 "Code" : "Tradition arcanique",
 "Class" : "MAGICIAN",
 "Specialisation" : "","Stats" : true,
 "Description" : "Au niveau 2, choisissez une tradition arcanique, qui forgera votre pratique de la magie à travers une des huit écoles : abjuration, divination, enchantement, évocation, illusion, invocation, nécromancie ou transmutation. Votre choix vous accorde des capacités spéciales au niveau 2 puis de nouvelles aux niveaux 6, 10 et 14."
  }</v>
      </c>
    </row>
    <row r="199" spans="1:9">
      <c r="A199" s="75" t="s">
        <v>247</v>
      </c>
      <c r="B199" s="240"/>
      <c r="C199" s="258" t="s">
        <v>167</v>
      </c>
      <c r="D199" s="258" t="s">
        <v>2807</v>
      </c>
      <c r="E199" s="258"/>
      <c r="F199" s="258"/>
      <c r="G199" s="18"/>
      <c r="H199" s="260" t="s">
        <v>191</v>
      </c>
      <c r="I199" t="str">
        <f t="shared" si="3"/>
        <v>"MAGICIAN-Amélioration de caractéristiques":  {
 "Code" : "Amélioration de caractéristiques",
 "Class" : "MAGICIAN",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200" spans="1:9">
      <c r="A200" s="75" t="s">
        <v>247</v>
      </c>
      <c r="B200" s="240"/>
      <c r="C200" s="258" t="s">
        <v>3584</v>
      </c>
      <c r="D200" s="258"/>
      <c r="E200" s="258"/>
      <c r="F200" s="258"/>
      <c r="G200" s="18">
        <v>-1</v>
      </c>
      <c r="H200" s="260" t="s">
        <v>3585</v>
      </c>
      <c r="I200" t="str">
        <f t="shared" si="3"/>
        <v>"MAGICIAN-Maîtrise des sorts":  {
 "Code" : "Maîtrise des sorts",
 "Class" : "MAGICIAN",
 "Specialisation" : "","UseNumber" : -1,
 "Description" : "Au niveau 18, vous avez atteint une telle maîtrise sur certains sorts que vous pouvez les lancer à volonté. Choisissez un sort de magicien de niveau 1 et un sort de magicien de niveau 2 de votre grimoire. Vous pouvez lancer ces sorts à leur niveau le plus bas sans dépenser un emplacement de sort lorsque vous les avez préparés. Si vous voulez lancer l'un de ses sorts à un niveau supérieur, vous devez dépenser un emplacement de sort, de manière normale. En passant 8 heures à étudier, vous pouvez échanger l'un ou les deux sorts que vous avez choisis par d'autres sorts de même niveau."
  }</v>
      </c>
    </row>
    <row r="201" spans="1:9">
      <c r="A201" s="274" t="s">
        <v>247</v>
      </c>
      <c r="B201" s="278"/>
      <c r="C201" s="272" t="s">
        <v>3586</v>
      </c>
      <c r="D201" s="272"/>
      <c r="E201" s="272"/>
      <c r="F201" s="272"/>
      <c r="G201" s="18">
        <v>-1</v>
      </c>
      <c r="H201" s="277" t="s">
        <v>3587</v>
      </c>
      <c r="I201" t="str">
        <f t="shared" si="3"/>
        <v>"MAGICIAN-Sorts de prédilection":  {
 "Code" : "Sorts de prédilection",
 "Class" : "MAGICIAN",
 "Specialisation" : "","UseNumber" : -1,
 "Description" : "Au niveau 20, vous gagnez la maîtrise de deux sorts puissants et pouvez les lancer avec peu d'effort. Choisissez deux sorts de magicien de niveau 3 de votre grimoire qui seront vos sorts de prédilection. Ces sorts sont toujours préparés, ils ne comptent pas dans le nombre de sorts que vous avez préparé, et vous pouvez lancer chacun d'eux une fois au niveau 3 sans dépenser un emplacement de sort. Une fois un sort lancé de cette manière, vous devez terminer un repos court ou long pour pouvoir le lancer de nouveau. Si vous voulez lancer un de ces sorts à un niveau supérieur, vous devez dépenser un emplacement de sort, de manière normale."
  }</v>
      </c>
    </row>
    <row r="202" spans="1:9">
      <c r="A202" s="75" t="s">
        <v>247</v>
      </c>
      <c r="B202" s="55" t="s">
        <v>2953</v>
      </c>
      <c r="C202" s="258" t="s">
        <v>3588</v>
      </c>
      <c r="D202" s="258"/>
      <c r="E202" s="258"/>
      <c r="F202" s="258"/>
      <c r="G202" s="18">
        <v>-1</v>
      </c>
      <c r="H202" s="261" t="s">
        <v>3589</v>
      </c>
      <c r="I202" t="str">
        <f t="shared" si="3"/>
        <v>"ABJURATION-Abjurateur érudit":  {
 "Code" : "Abjurateur érudit",
 "Class" : "MAGICIAN",
 "Specialisation" : "ABJURATION","UseNumber" : -1,
 "Description" : "Au niveau 2, lorsque vous choisissez cette école, l'or et le temps que vous devez dépenser pour copier un sort d'abjuration dans votre grimoire est divisé par deux."
  }</v>
      </c>
    </row>
    <row r="203" spans="1:9">
      <c r="A203" s="75" t="s">
        <v>247</v>
      </c>
      <c r="B203" s="55" t="s">
        <v>2953</v>
      </c>
      <c r="C203" s="258" t="s">
        <v>3590</v>
      </c>
      <c r="D203" s="258"/>
      <c r="E203" s="258"/>
      <c r="F203" s="258"/>
      <c r="G203" s="18">
        <v>-1</v>
      </c>
      <c r="H203" s="251" t="s">
        <v>3591</v>
      </c>
      <c r="I203" t="str">
        <f t="shared" si="3"/>
        <v>"ABJURATION-Protection arcanique":  {
 "Code" : "Protection arcanique",
 "Class" : "MAGICIAN",
 "Specialisation" : "ABJURATION","UseNumber" : -1,
 "Description" : "À partir du niveau 2, vous pouvez tisser la magie autour de vous pour vous protéger. Lorsque vous lancez un sort d'abjuration de niveau 1 ou plus, vous pouvez utiliser simultanément un brin de la magie du sort pour créer un sceau arcanique sur vous-même qui dure jusqu'à ce que vous terminiez un repos long. Le sceau possède des points de vie égaux à deux fois votre niveau de magicien + votre modificateur d'Intelligence. Chaque fois que vous subissez des dégâts, le sceau prend les dommages à votre place. Si ces dommages réduisent le sceau à 0 point de vie, vous prenez les dommages restants.  À 0 point de vie, le sceau ne peut plus absorber les dégâts, mais sa magie persiste. Chaque fois que vous lancez un sort d'abjuration de niveau 1 ou plus, le sceau récupère un nombre de points de vie égal à deux fois le niveau du sort. Une fois que vous créez un sceau, vous ne pouvez pas en créer d'autres jusqu'à ce que vous ayez terminé un repos long."
  }</v>
      </c>
    </row>
    <row r="204" spans="1:9">
      <c r="A204" s="75" t="s">
        <v>247</v>
      </c>
      <c r="B204" s="55" t="s">
        <v>2953</v>
      </c>
      <c r="C204" s="258" t="s">
        <v>3592</v>
      </c>
      <c r="D204" s="258"/>
      <c r="E204" s="258"/>
      <c r="F204" s="258"/>
      <c r="G204" s="18">
        <v>-1</v>
      </c>
      <c r="H204" s="261" t="s">
        <v>3593</v>
      </c>
      <c r="I204" t="str">
        <f t="shared" si="3"/>
        <v>"ABJURATION-Transmission de protection":  {
 "Code" : "Transmission de protection",
 "Class" : "MAGICIAN",
 "Specialisation" : "ABJURATION","UseNumber" : -1,
 "Description" : "À partir du niveau 6, quand une créature que vous pouvez voir dans un rayon de 9 mètres autour de vous subit des dégâts, vous pouvez utiliser votre réaction et absorber ses dommages grâce à votre Protection arcanique. Si ces dommages réduisent le sceau à 0 point de vie, la créature protégée prend les dommages restants."
  }</v>
      </c>
    </row>
    <row r="205" spans="1:9">
      <c r="A205" s="75" t="s">
        <v>247</v>
      </c>
      <c r="B205" s="55" t="s">
        <v>2953</v>
      </c>
      <c r="C205" s="258" t="s">
        <v>3594</v>
      </c>
      <c r="D205" s="258"/>
      <c r="E205" s="258"/>
      <c r="F205" s="258"/>
      <c r="G205" s="18">
        <v>-1</v>
      </c>
      <c r="H205" s="261" t="s">
        <v>3595</v>
      </c>
      <c r="I205" t="str">
        <f t="shared" si="3"/>
        <v>"ABJURATION-Abjuration améliorée":  {
 "Code" : "Abjuration améliorée",
 "Class" : "MAGICIAN",
 "Specialisation" : "ABJURATION","UseNumber" : -1,
 "Description" : "À partir du niveau 10, quand vous lancez un sort d'abjuration et que celui-ci vous oblige à faire un jet de caractéristique (comme avec contresort ou dissipation de la magie), vous ajoutez votre bonus de maîtrise au jet de caractéristique."
  }</v>
      </c>
    </row>
    <row r="206" spans="1:9">
      <c r="A206" s="75" t="s">
        <v>247</v>
      </c>
      <c r="B206" s="55" t="s">
        <v>2953</v>
      </c>
      <c r="C206" s="258" t="s">
        <v>3596</v>
      </c>
      <c r="D206" s="258"/>
      <c r="E206" s="258"/>
      <c r="F206" s="258"/>
      <c r="G206" s="18">
        <v>-1</v>
      </c>
      <c r="H206" s="261" t="s">
        <v>3597</v>
      </c>
      <c r="I206" t="str">
        <f t="shared" si="3"/>
        <v>"ABJURATION-Résistance aux sorts":  {
 "Code" : "Résistance aux sorts",
 "Class" : "MAGICIAN",
 "Specialisation" : "ABJURATION","UseNumber" : -1,
 "Description" : "À partir du niveau 14, vous avez l'avantage aux jets de sauvegarde contre les sorts. En outre, vous avez la résistance contre les dégâts des sorts."
  }</v>
      </c>
    </row>
    <row r="207" spans="1:9">
      <c r="A207" s="274" t="s">
        <v>247</v>
      </c>
      <c r="B207" s="275" t="s">
        <v>2953</v>
      </c>
      <c r="C207" s="272" t="s">
        <v>3598</v>
      </c>
      <c r="D207" s="272"/>
      <c r="E207" s="272"/>
      <c r="F207" s="272"/>
      <c r="G207" s="18">
        <v>-1</v>
      </c>
      <c r="H207" s="273" t="s">
        <v>3599</v>
      </c>
      <c r="I207" t="str">
        <f t="shared" si="3"/>
        <v>"ABJURATION-Devin érudit":  {
 "Code" : "Devin érudit",
 "Class" : "MAGICIAN",
 "Specialisation" : "ABJURATION","UseNumber" : -1,
 "Description" : "Au niveau 2, lorsque vous choisissez cette école, l'or et le temps que vous devez dépenser pour copier un sort de divination dans votre grimoire est divisé par deux."
  }</v>
      </c>
    </row>
    <row r="208" spans="1:9">
      <c r="A208" s="75" t="s">
        <v>247</v>
      </c>
      <c r="B208" s="55" t="s">
        <v>2899</v>
      </c>
      <c r="C208" s="258" t="s">
        <v>3600</v>
      </c>
      <c r="D208" s="258"/>
      <c r="E208" s="258"/>
      <c r="F208" s="258"/>
      <c r="G208" s="18">
        <v>-1</v>
      </c>
      <c r="H208" s="261" t="s">
        <v>3601</v>
      </c>
      <c r="I208" t="str">
        <f t="shared" si="3"/>
        <v>"DIVINATION-Présage":  {
 "Code" : "Présage",
 "Class" : "MAGICIAN",
 "Specialisation" : "DIVINATION","UseNumber" : -1,
 "Description" : "À partir du niveau 2, des aperçus du futur commencent à germer dans votre conscience. Lorsque vous terminez un repos long, lancez deux d20 et notez les résultats. Vous pouvez remplacer n'importe quel jet d'attaque, de sauvegarde ou de caractéristique, qu'il soit lancé par vous ou par une créature que vous pouvez voir, par l'un de ces jets anticipés. Vous devez choisir de faire cela avant de lancer le dé, et vous ne pouvez remplacer qu'un seul jet par tour. Chaque jet anticipé ne peut être utilisé qu'une seule fois. Lorsque vous terminez un repos long, vous perdez tous les jets anticipés non-utilisés."
  }</v>
      </c>
    </row>
    <row r="209" spans="1:9">
      <c r="A209" s="75" t="s">
        <v>247</v>
      </c>
      <c r="B209" s="55" t="s">
        <v>2899</v>
      </c>
      <c r="C209" s="258" t="s">
        <v>3602</v>
      </c>
      <c r="D209" s="258"/>
      <c r="E209" s="258"/>
      <c r="F209" s="258"/>
      <c r="G209" s="18">
        <v>-1</v>
      </c>
      <c r="H209" s="261" t="s">
        <v>3603</v>
      </c>
      <c r="I209" t="str">
        <f t="shared" si="3"/>
        <v>"DIVINATION-Expert en divination":  {
 "Code" : "Expert en divination",
 "Class" : "MAGICIAN",
 "Specialisation" : "DIVINATION","UseNumber" : -1,
 "Description" : "À partir du niveau 6, lancer des sorts de divination vous devient si facile que vous ne dépensez qu'une fraction de vos efforts pour cela. Lorsque vous lancez un sort de divination de niveau 2 ou plus, en utilisant un emplacement de sort, vous récupérez un emplacement de sort dépensé. L'emplacement que vous regagnez doit être d'un niveau inférieur au sort que vous venez de lancer et ne peut pas être d'un niveau supérieur à 5."
  }</v>
      </c>
    </row>
    <row r="210" spans="1:9">
      <c r="A210" s="75" t="s">
        <v>247</v>
      </c>
      <c r="B210" s="55" t="s">
        <v>2899</v>
      </c>
      <c r="C210" s="258" t="s">
        <v>3604</v>
      </c>
      <c r="D210" s="258"/>
      <c r="E210" s="258"/>
      <c r="F210" s="258"/>
      <c r="G210" s="18">
        <v>-1</v>
      </c>
      <c r="H210" s="251" t="s">
        <v>3605</v>
      </c>
      <c r="I210" t="str">
        <f t="shared" si="3"/>
        <v>"DIVINATION-Troisième œil":  {
 "Code" : "Troisième œil",
 "Class" : "MAGICIAN",
 "Specialisation" : "DIVINATION","UseNumber" : -1,
 "Description" : "À partir du niveau 10, vous pouvez utiliser votre action pour augmenter vos pouvoirs de perception. Dans ce cas, choisissez l'un des avantages suivants, lequel dure jusqu'à ce que vous soyez incapable d'agir ou que vous preniez un repos, court ou long. Vous ne pouvez pas utiliser de nouveau cette capacité jusqu'à ce que vous terminiez un repos.  Vision dans le noir. Vous gagnez vision dans le noir à 18 mètres. Vision éthérée. Vous pouvez voir dans le plan éthéré dans un rayon de 18 mètres autour de vous. Compréhension ultime. Vous pouvez lire toutes les langues. Voir l'invisible. Vous pouvez voir les créatures et les objets invisibles dans un rayon de 3 mètres autour de vous et dans votre ligne de mire."
  }</v>
      </c>
    </row>
    <row r="211" spans="1:9">
      <c r="A211" s="274" t="s">
        <v>247</v>
      </c>
      <c r="B211" s="275" t="s">
        <v>2899</v>
      </c>
      <c r="C211" s="272" t="s">
        <v>3606</v>
      </c>
      <c r="D211" s="272"/>
      <c r="E211" s="272"/>
      <c r="F211" s="272"/>
      <c r="G211" s="18">
        <v>-1</v>
      </c>
      <c r="H211" s="273" t="s">
        <v>3607</v>
      </c>
      <c r="I211" t="str">
        <f t="shared" si="3"/>
        <v>"DIVINATION-Présage supérieur":  {
 "Code" : "Présage supérieur",
 "Class" : "MAGICIAN",
 "Specialisation" : "DIVINATION","UseNumber" : -1,
 "Description" : "À partir du niveau 14, les visions de vos rêves s'intensifient et brossent un tableau plus précis dans votre esprit de ce qui va se passer. Vous lancez 3 dés, au lieu de 2, pour votre capacité de Présage."
  }</v>
      </c>
    </row>
    <row r="212" spans="1:9">
      <c r="A212" s="75" t="s">
        <v>247</v>
      </c>
      <c r="B212" s="55" t="s">
        <v>2900</v>
      </c>
      <c r="C212" s="258" t="s">
        <v>3608</v>
      </c>
      <c r="D212" s="258"/>
      <c r="E212" s="258"/>
      <c r="F212" s="258"/>
      <c r="G212" s="18">
        <v>-1</v>
      </c>
      <c r="H212" s="261" t="s">
        <v>3609</v>
      </c>
      <c r="I212" t="str">
        <f t="shared" si="3"/>
        <v>"ENCHANTMENT-Enchanteur érudit":  {
 "Code" : "Enchanteur érudit",
 "Class" : "MAGICIAN",
 "Specialisation" : "ENCHANTMENT","UseNumber" : -1,
 "Description" : "Au niveau 2, lorsque vous choisissez cette école, l'or et le temps que vous devez dépenser pour copier un sort d'enchantement dans votre grimoire est divisé par deux."
  }</v>
      </c>
    </row>
    <row r="213" spans="1:9">
      <c r="A213" s="75" t="s">
        <v>247</v>
      </c>
      <c r="B213" s="55" t="s">
        <v>2900</v>
      </c>
      <c r="C213" s="258" t="s">
        <v>3610</v>
      </c>
      <c r="D213" s="258"/>
      <c r="E213" s="258"/>
      <c r="F213" s="258"/>
      <c r="G213" s="18">
        <v>-1</v>
      </c>
      <c r="H213" s="261" t="s">
        <v>3611</v>
      </c>
      <c r="I213" t="str">
        <f t="shared" si="3"/>
        <v>"ENCHANTMENT-Regard hypnotique":  {
 "Code" : "Regard hypnotique",
 "Class" : "MAGICIAN",
 "Specialisation" : "ENCHANTMENT","UseNumber" : -1,
 "Description" : "À partir du niveau 2, vos paroles apaisantes et votre regard envoûtant peuvent captiver votre auditoire. Par une action, vous choisissez une créature que vous pouvez voir située à 1,50 mètre ou moins de vous. Si la cible peut vous voir ou vous entendre, elle doit réussir un jet de sauvegarde de Sagesse contre votre DD de sauvegarde de sorts de magicien, ou vous la charmez jusqu'à la fin de votre prochain tour. La vitesse de la créature charmée est réduite à 0, elle est incapable d'agir, et visiblement étourdie. À chaque tour suivant, vous pouvez utiliser votre action pour maintenir cet effet, prolongeant alors sa durée jusqu'à la fin de votre prochain tour. Cependant, cet effet se termine si vous vous déplacez à plus de 1,50 mètre de la créature, si celle-ci ne peut plus ni vous voir ni vous entendre, ou si elle subit des dégâts. Une fois que l'effet prend fin, ou si la créature réussit son jet de sauvegarde initial contre cet effet, vous ne pouvez plus utiliser cette capacité contre cette créature jusqu'à ce que vous terminiez un repos long."
  }</v>
      </c>
    </row>
    <row r="214" spans="1:9">
      <c r="A214" s="75" t="s">
        <v>247</v>
      </c>
      <c r="B214" s="55" t="s">
        <v>2900</v>
      </c>
      <c r="C214" s="258" t="s">
        <v>3612</v>
      </c>
      <c r="D214" s="258"/>
      <c r="E214" s="258"/>
      <c r="F214" s="258"/>
      <c r="G214" s="18">
        <v>-1</v>
      </c>
      <c r="H214" s="261" t="s">
        <v>3613</v>
      </c>
      <c r="I214" t="str">
        <f t="shared" si="3"/>
        <v>"ENCHANTMENT-Charme instinctif":  {
 "Code" : "Charme instinctif",
 "Class" : "MAGICIAN",
 "Specialisation" : "ENCHANTMENT","UseNumber" : -1,
 "Description" : "À partir du niveau 6, quand une créature que vous pouvez voir et située à 9 mètres ou moins de vous réalise un jet d'attaque contre vous, vous pouvez utiliser votre réaction pour dévier l'attaque, à condition qu'une autre créature se trouve à portée de l'attaque. L'attaquant doit réaliser un jet de sauvegarde de Sagesse contre votre DD de sauvegarde de sorts de magicien. En cas d'échec, l'attaquant doit cibler la créature la plus proche de lui, autre que vous ou lui-même. Si plusieurs créatures se trouvent en position de cibles potentielles, l'attaquant choisit celle qu'il cible. En cas de jet de sauvegarde réussit, vous ne pouvez plus utiliser cette capacité contre l'attaquant jusqu'à ce que vous terminiez un repos long. Vous devez choisir d'utiliser cette capacité avant de savoir si l'attaque vous touche ou vous manque. Les créatures ne pouvant être charmées sont immunisées à cet effet."
  }</v>
      </c>
    </row>
    <row r="215" spans="1:9">
      <c r="A215" s="75" t="s">
        <v>247</v>
      </c>
      <c r="B215" s="55" t="s">
        <v>2900</v>
      </c>
      <c r="C215" s="258" t="s">
        <v>3614</v>
      </c>
      <c r="D215" s="258"/>
      <c r="E215" s="258"/>
      <c r="F215" s="258"/>
      <c r="G215" s="18">
        <v>-1</v>
      </c>
      <c r="H215" s="261" t="s">
        <v>3615</v>
      </c>
      <c r="I215" t="str">
        <f t="shared" si="3"/>
        <v>"ENCHANTMENT-Partage d'enchantement":  {
 "Code" : "Partage d'enchantement",
 "Class" : "MAGICIAN",
 "Specialisation" : "ENCHANTMENT","UseNumber" : -1,
 "Description" : "À partir du niveau 10, lorsque vous lancez un sort d'enchantement de niveau 1 ou plus ayant pour cible une seule créature, vous pouvez choisir de cibler avec ce sort une seconde créature."
  }</v>
      </c>
    </row>
    <row r="216" spans="1:9">
      <c r="A216" s="274" t="s">
        <v>247</v>
      </c>
      <c r="B216" s="275" t="s">
        <v>2900</v>
      </c>
      <c r="C216" s="272" t="s">
        <v>3616</v>
      </c>
      <c r="D216" s="272"/>
      <c r="E216" s="272"/>
      <c r="F216" s="272"/>
      <c r="G216" s="18">
        <v>-1</v>
      </c>
      <c r="H216" s="273" t="s">
        <v>3617</v>
      </c>
      <c r="I216" t="str">
        <f t="shared" si="3"/>
        <v>"ENCHANTMENT-Altération de la mémoire":  {
 "Code" : "Altération de la mémoire",
 "Class" : "MAGICIAN",
 "Specialisation" : "ENCHANTMENT","UseNumber" : -1,
 "Description" : "À partir du niveau 14, vous gagnez la capacité d'influencer par magie une créature sans que celle-ci s'en rende compte. Lorsque vous utilisez un sort d'enchantement pour charmer une ou plusieurs créatures, vous pouvez altérer l'entendement de l'une d'entre elles pour qu'elle ignore le fait d'être charmée. De plus, une fois avant l'expiration du sort, vous pouvez utiliser votre action pour faire que la créature choisie oublie une partie du temps durant lequel elle a été charmée. La créature doit réussir un jet de sauvegarde d’Intelligence contre votre DD de sauvegarde de sorts de magicien ou oublier ses souvenirs sur un nombre d'heures passées égal à 1 + votre modificateur de Charisme (minimum 1 heure). Vous pouvez choisir de diminuer cette durée, et ce temps ne peut pas excéder la durée de votre sort d'enchantement."
  }</v>
      </c>
    </row>
    <row r="217" spans="1:9">
      <c r="A217" s="75" t="s">
        <v>247</v>
      </c>
      <c r="B217" s="55" t="s">
        <v>2901</v>
      </c>
      <c r="C217" s="258" t="s">
        <v>3618</v>
      </c>
      <c r="D217" s="258"/>
      <c r="E217" s="258"/>
      <c r="F217" s="258"/>
      <c r="G217" s="18">
        <v>-1</v>
      </c>
      <c r="H217" s="261" t="s">
        <v>3619</v>
      </c>
      <c r="I217" t="str">
        <f t="shared" si="3"/>
        <v>"EVOCATION-Évocateur érudit":  {
 "Code" : "Évocateur érudit",
 "Class" : "MAGICIAN",
 "Specialisation" : "EVOCATION","UseNumber" : -1,
 "Description" : "Au niveau 2, l'or et le temps que vous devez passer pour copier un sort d'évocation dans votre grimoire sont réduits de moitié."
  }</v>
      </c>
    </row>
    <row r="218" spans="1:9">
      <c r="A218" s="75" t="s">
        <v>247</v>
      </c>
      <c r="B218" s="55" t="s">
        <v>2901</v>
      </c>
      <c r="C218" s="258" t="s">
        <v>3620</v>
      </c>
      <c r="D218" s="258"/>
      <c r="E218" s="258"/>
      <c r="F218" s="258"/>
      <c r="G218" s="18">
        <v>-1</v>
      </c>
      <c r="H218" s="261" t="s">
        <v>3621</v>
      </c>
      <c r="I218" t="str">
        <f t="shared" si="3"/>
        <v>"EVOCATION-Façonneur de sorts":  {
 "Code" : "Façonneur de sorts",
 "Class" : "MAGICIAN",
 "Specialisation" : "EVOCATION","UseNumber" : -1,
 "Description" : "À partir du niveau 2, vous pouvez créer des poches de relative sécurité dans les effets de vos sorts d'évocation. Lorsque vous lancez un sort d'évocation qui affecte d'autres créatures que vous pouvez voir, vous pouvez choisir un nombre d'entre elles égal à 1 + le niveau du sort. Les créatures choisies réussissent automatiquement leur jet de sauvegarde contre le sort, et ne prennent pas de dégâts si elles devraient normalement prendre la moitié des dégâts sur un jet de sauvegarde réussi."
  }</v>
      </c>
    </row>
    <row r="219" spans="1:9">
      <c r="A219" s="75" t="s">
        <v>247</v>
      </c>
      <c r="B219" s="55" t="s">
        <v>2901</v>
      </c>
      <c r="C219" s="258" t="s">
        <v>3622</v>
      </c>
      <c r="D219" s="258"/>
      <c r="E219" s="258"/>
      <c r="F219" s="258"/>
      <c r="G219" s="18">
        <v>-1</v>
      </c>
      <c r="H219" s="261" t="s">
        <v>3623</v>
      </c>
      <c r="I219" t="str">
        <f t="shared" si="3"/>
        <v>"EVOCATION-Sort mineur puissant":  {
 "Code" : "Sort mineur puissant",
 "Class" : "MAGICIAN",
 "Specialisation" : "EVOCATION","UseNumber" : -1,
 "Description" : "À partir du niveau 6, vos sorts mineurs qui provoquent des dégâts affectent même les créatures qui évitent leurs effets. Quand une créature réussit un jet de sauvegarde contre un de vos sorts mineurs, la créature prend la moitié des dégâts du sort (le cas échéant), mais ne souffre pas d'effet supplémentaire du sort."
  }</v>
      </c>
    </row>
    <row r="220" spans="1:9">
      <c r="A220" s="75" t="s">
        <v>247</v>
      </c>
      <c r="B220" s="55" t="s">
        <v>2901</v>
      </c>
      <c r="C220" s="258" t="s">
        <v>3624</v>
      </c>
      <c r="D220" s="258"/>
      <c r="E220" s="258"/>
      <c r="F220" s="258"/>
      <c r="G220" s="18">
        <v>-1</v>
      </c>
      <c r="H220" s="261" t="s">
        <v>3625</v>
      </c>
      <c r="I220" t="str">
        <f t="shared" si="3"/>
        <v>"EVOCATION-Évocation améliorée":  {
 "Code" : "Évocation améliorée",
 "Class" : "MAGICIAN",
 "Specialisation" : "EVOCATION","UseNumber" : -1,
 "Description" : "À partir du niveau 10, si vous lancez un sort de magicien d’évocation, vous pouvez ajouter votre modificateur d’Intelligence à un (et un seul) jet de dégâts."
  }</v>
      </c>
    </row>
    <row r="221" spans="1:9">
      <c r="A221" s="274" t="s">
        <v>247</v>
      </c>
      <c r="B221" s="275" t="s">
        <v>2901</v>
      </c>
      <c r="C221" s="272" t="s">
        <v>3626</v>
      </c>
      <c r="D221" s="272"/>
      <c r="E221" s="272"/>
      <c r="F221" s="272"/>
      <c r="G221" s="18">
        <v>-1</v>
      </c>
      <c r="H221" s="273" t="s">
        <v>3627</v>
      </c>
      <c r="I221" t="str">
        <f t="shared" si="3"/>
        <v>"EVOCATION-Surcharge magique":  {
 "Code" : "Surcharge magique",
 "Class" : "MAGICIAN",
 "Specialisation" : "EVOCATION","UseNumber" : -1,
 "Description" : "À partir du niveau 14, vous pouvez augmenter la puissance de vos sorts les plus simples. Lorsque vous lancez un sort de magicien d'un niveau compris entre 1 et 5 qui inflige des dégâts, vous pouvez infliger le maximum de dégâts avec ce sort. La première fois que vous le faites, vous ne souffrez d'aucun effet indésirable. Si vous utilisez à nouveau cette capacité avant la fin d'un repos long, vous subissez 2d12 dégâts nécrotiques pour chaque niveau du sort, immédiatement après l'avoir lancé. Chaque fois que vous utilisez à nouveau cette capacité avant de terminer un repos long, les dégâts nécrotiques par niveau des sorts augmentent de 1d12. Ces dégâts ignorent la résistance et l'immunité."
  }</v>
      </c>
    </row>
    <row r="222" spans="1:9">
      <c r="A222" s="75" t="s">
        <v>247</v>
      </c>
      <c r="B222" s="55" t="s">
        <v>2952</v>
      </c>
      <c r="C222" s="258" t="s">
        <v>3628</v>
      </c>
      <c r="D222" s="258"/>
      <c r="E222" s="258"/>
      <c r="F222" s="258"/>
      <c r="G222" s="18">
        <v>-1</v>
      </c>
      <c r="H222" s="261" t="s">
        <v>3629</v>
      </c>
      <c r="I222" t="str">
        <f t="shared" si="3"/>
        <v>"ILLUSION-Illusionniste érudit":  {
 "Code" : "Illusionniste érudit",
 "Class" : "MAGICIAN",
 "Specialisation" : "ILLUSION","UseNumber" : -1,
 "Description" : "Au niveau 2, lorsque vous choisissez cette école, l'or et le temps que vous devez dépenser pour copier un sort d'illusion dans votre grimoire est divisé par deux."
  }</v>
      </c>
    </row>
    <row r="223" spans="1:9">
      <c r="A223" s="75" t="s">
        <v>247</v>
      </c>
      <c r="B223" s="55" t="s">
        <v>2952</v>
      </c>
      <c r="C223" s="258" t="s">
        <v>3630</v>
      </c>
      <c r="D223" s="258" t="s">
        <v>2807</v>
      </c>
      <c r="E223" s="258"/>
      <c r="F223" s="258"/>
      <c r="G223" s="18"/>
      <c r="H223" s="261" t="s">
        <v>3631</v>
      </c>
      <c r="I223" t="str">
        <f t="shared" si="3"/>
        <v>"ILLUSION-Illusion mineure améliorée":  {
 "Code" : "Illusion mineure améliorée",
 "Class" : "MAGICIAN",
 "Specialisation" : "ILLUSION","Stats" : true,
 "Description" : "Au niveau 2, vous apprenez le sort mineur illusion mineure. Si vous connaissez déjà ce sort mineur, vous apprenez un autre sort mineur de magicien de votre choix. Le sort mineur ne compte pas dans votre nombre de sorts mineurs connus. Quand vous lancez illusion mineure, vous pouvez créer à la fois un son et une image avec un seul sort."
  }</v>
      </c>
    </row>
    <row r="224" spans="1:9">
      <c r="A224" s="75" t="s">
        <v>247</v>
      </c>
      <c r="B224" s="55" t="s">
        <v>2952</v>
      </c>
      <c r="C224" s="258" t="s">
        <v>3632</v>
      </c>
      <c r="D224" s="258"/>
      <c r="E224" s="258"/>
      <c r="F224" s="258"/>
      <c r="G224" s="18">
        <v>-1</v>
      </c>
      <c r="H224" s="261" t="s">
        <v>3633</v>
      </c>
      <c r="I224" t="str">
        <f t="shared" si="3"/>
        <v>"ILLUSION-Illusions malléables":  {
 "Code" : "Illusions malléables",
 "Class" : "MAGICIAN",
 "Specialisation" : "ILLUSION","UseNumber" : -1,
 "Description" : "À partir du niveau 6, lorsque vous lancez un sort d'illusion qui possède une durée de 1 minute ou plus, vous pouvez utiliser votre action pour changer la nature de cette illusion (en respectant les paramètres normaux du sort pour l'illusion), à condition que vous puissiez voir l'illusion."
  }</v>
      </c>
    </row>
    <row r="225" spans="1:9">
      <c r="A225" s="75" t="s">
        <v>247</v>
      </c>
      <c r="B225" s="55" t="s">
        <v>2952</v>
      </c>
      <c r="C225" s="258" t="s">
        <v>1530</v>
      </c>
      <c r="D225" s="258"/>
      <c r="E225" s="258"/>
      <c r="F225" s="258"/>
      <c r="G225" s="18">
        <v>-1</v>
      </c>
      <c r="H225" s="261" t="s">
        <v>3634</v>
      </c>
      <c r="I225" t="str">
        <f t="shared" si="3"/>
        <v>"ILLUSION-Double illusoire":  {
 "Code" : "Double illusoire",
 "Class" : "MAGICIAN",
 "Specialisation" : "ILLUSION","UseNumber" : -1,
 "Description" : "À partir du niveau 10, vous pouvez créer une copie illusoire de vous-même en un instant, comme un réflexe instinctif face à un danger. Quand une créature fait un jet d'attaque contre vous, vous pouvez utiliser votre réaction pour interposer ce double illusoire entre l'attaquant et vous-même. L'attaque vous manque automatiquement, et l'illusion se dissipe. Une fois que vous utilisez cette capacité, vous ne pouvez plus l'utiliser à nouveau jusqu'à ce que vous terminiez un repos court ou long."
  }</v>
      </c>
    </row>
    <row r="226" spans="1:9">
      <c r="A226" s="274" t="s">
        <v>247</v>
      </c>
      <c r="B226" s="275" t="s">
        <v>2952</v>
      </c>
      <c r="C226" s="272" t="s">
        <v>3635</v>
      </c>
      <c r="D226" s="272"/>
      <c r="E226" s="272"/>
      <c r="F226" s="272"/>
      <c r="G226" s="18">
        <v>-1</v>
      </c>
      <c r="H226" s="273" t="s">
        <v>3636</v>
      </c>
      <c r="I226" t="str">
        <f t="shared" si="3"/>
        <v>"ILLUSION-Réalité illusoire":  {
 "Code" : "Réalité illusoire",
 "Class" : "MAGICIAN",
 "Specialisation" : "ILLUSION","UseNumber" : -1,
 "Description" : "Au niveau 14, vous avez appris le secret pour tisser la magie des ombres dans vos illusions et leur donner une semi-réalité. Lorsque vous lancez un sort d'illusion de niveau 1 ou plus, vous pouvez choisir un objet inanimé non magique qui fait partie de l'illusion et en faire un objet réel. Vous pouvez le faire à votre tour par une action bonus lorsque le sort est en cours. L'objet reste réel pendant 1 minute. Par exemple, vous pouvez créer l'illusion d'un pont au-dessus d'un abîme, puis en faire une réalité assez longtemps pour que vos alliés puissent le traverser. L'objet ne peut pas infliger de dégâts ou nuire directement à quiconque."
  }</v>
      </c>
    </row>
    <row r="227" spans="1:9">
      <c r="A227" s="75" t="s">
        <v>247</v>
      </c>
      <c r="B227" s="55" t="s">
        <v>2902</v>
      </c>
      <c r="C227" s="258" t="s">
        <v>3637</v>
      </c>
      <c r="D227" s="258"/>
      <c r="E227" s="258"/>
      <c r="F227" s="258"/>
      <c r="G227" s="18">
        <v>-1</v>
      </c>
      <c r="H227" s="261" t="s">
        <v>3638</v>
      </c>
      <c r="I227" t="str">
        <f t="shared" si="3"/>
        <v>"INVOCATION-Invocateur érudit":  {
 "Code" : "Invocateur érudit",
 "Class" : "MAGICIAN",
 "Specialisation" : "INVOCATION","UseNumber" : -1,
 "Description" : "Au niveau 2, lorsque vous choisissez cette école, l'or et le temps que vous devez dépenser pour copier un sort d'invocation dans votre grimoire est divisé par deux."
  }</v>
      </c>
    </row>
    <row r="228" spans="1:9">
      <c r="A228" s="75" t="s">
        <v>247</v>
      </c>
      <c r="B228" s="55" t="s">
        <v>2902</v>
      </c>
      <c r="C228" s="258" t="s">
        <v>3639</v>
      </c>
      <c r="D228" s="258"/>
      <c r="E228" s="258"/>
      <c r="F228" s="258"/>
      <c r="G228" s="18">
        <v>-1</v>
      </c>
      <c r="H228" s="261" t="s">
        <v>3640</v>
      </c>
      <c r="I228" t="str">
        <f t="shared" si="3"/>
        <v>"INVOCATION-Invocation mineure":  {
 "Code" : "Invocation mineure",
 "Class" : "MAGICIAN",
 "Specialisation" : "INVOCATION","UseNumber" : -1,
 "Description" : "À partir du niveau 2, vous pouvez utiliser votre action pour invoquer un objet inanimé dans votre main ou au sol dans un espace inoccupé que vous pouvez voir et dans un rayon de 3 mètres autour de vous. Cet objet ne peut être supérieur à 1 mètre de côté et ne peut peser plus de 5 kilos, et sa forme doit être celle d'un objet non magique que vous avez déjà vu. L'objet est visiblement magique, rayonnant une lumière tamisée sur 1,50 mètre. L'objet disparaît après 1 heure, lorsque vous utilisez cette capacité à nouveau, ou s'il prend ou inflige des dommages."
  }</v>
      </c>
    </row>
    <row r="229" spans="1:9">
      <c r="A229" s="75" t="s">
        <v>247</v>
      </c>
      <c r="B229" s="55" t="s">
        <v>2902</v>
      </c>
      <c r="C229" s="258" t="s">
        <v>3641</v>
      </c>
      <c r="D229" s="258"/>
      <c r="E229" s="258"/>
      <c r="F229" s="258"/>
      <c r="G229" s="18">
        <v>-1</v>
      </c>
      <c r="H229" s="261" t="s">
        <v>3642</v>
      </c>
      <c r="I229" t="str">
        <f t="shared" si="3"/>
        <v>"INVOCATION-Transposition bénigne":  {
 "Code" : "Transposition bénigne",
 "Class" : "MAGICIAN",
 "Specialisation" : "INVOCATION","UseNumber" : -1,
 "Description" : "À partir du niveau 6, vous pouvez utiliser votre action pour vous téléporter jusqu'à 9 mètres dans un espace inoccupé que vous pouvez voir. Vous pouvez également choisir un espace à portée qui est occupé par une créature de taille P ou M. Si cette créature est consentante, vous vous téléportez tous les deux, en échangeant vos places. Une fois que vous avez utilisé cette capacité, vous ne pouvez plus l'utiliser à nouveau jusqu'à ce que vous terminiez un repos long ou que vous lanciez un sort d'invocation de niveau 1 ou supérieur."
  }</v>
      </c>
    </row>
    <row r="230" spans="1:9">
      <c r="A230" s="75" t="s">
        <v>247</v>
      </c>
      <c r="B230" s="55" t="s">
        <v>2902</v>
      </c>
      <c r="C230" s="258" t="s">
        <v>3643</v>
      </c>
      <c r="D230" s="258"/>
      <c r="E230" s="258"/>
      <c r="F230" s="258"/>
      <c r="G230" s="18">
        <v>-1</v>
      </c>
      <c r="H230" s="261" t="s">
        <v>3644</v>
      </c>
      <c r="I230" t="str">
        <f t="shared" si="3"/>
        <v>"INVOCATION-Invocateur concentré":  {
 "Code" : "Invocateur concentré",
 "Class" : "MAGICIAN",
 "Specialisation" : "INVOCATION","UseNumber" : -1,
 "Description" : "À partir du niveau 10, lorsque vous vous concentrez sur un sort d'invocation, votre concentration ne peut être brisée par le fait de prendre des dégâts."
  }</v>
      </c>
    </row>
    <row r="231" spans="1:9">
      <c r="A231" s="274" t="s">
        <v>247</v>
      </c>
      <c r="B231" s="275" t="s">
        <v>2902</v>
      </c>
      <c r="C231" s="272" t="s">
        <v>3645</v>
      </c>
      <c r="D231" s="272"/>
      <c r="E231" s="272"/>
      <c r="F231" s="272"/>
      <c r="G231" s="18">
        <v>-1</v>
      </c>
      <c r="H231" s="273" t="s">
        <v>3646</v>
      </c>
      <c r="I231" t="str">
        <f t="shared" si="3"/>
        <v>"INVOCATION-Invocations durables":  {
 "Code" : "Invocations durables",
 "Class" : "MAGICIAN",
 "Specialisation" : "INVOCATION","UseNumber" : -1,
 "Description" : "À partir de niveau 14, une créature que vous invoquez ou créez avec un sort d'invocation possède 30 points de vie temporaires."
  }</v>
      </c>
    </row>
    <row r="232" spans="1:9">
      <c r="A232" s="75" t="s">
        <v>247</v>
      </c>
      <c r="B232" s="55" t="s">
        <v>2903</v>
      </c>
      <c r="C232" s="258" t="s">
        <v>3647</v>
      </c>
      <c r="D232" s="258"/>
      <c r="E232" s="258"/>
      <c r="F232" s="258"/>
      <c r="G232" s="18">
        <v>-1</v>
      </c>
      <c r="H232" s="261" t="s">
        <v>3648</v>
      </c>
      <c r="I232" t="str">
        <f t="shared" si="3"/>
        <v>"NECROMANCY-Nécromancien érudit":  {
 "Code" : "Nécromancien érudit",
 "Class" : "MAGICIAN",
 "Specialisation" : "NECROMANCY","UseNumber" : -1,
 "Description" : "Au niveau 2, lorsque vous choisissez cette école, l'or et le temps que vous devez dépenser pour copier un sort de nécromancie dans votre grimoire est réduit de moitié."
  }</v>
      </c>
    </row>
    <row r="233" spans="1:9">
      <c r="A233" s="75" t="s">
        <v>247</v>
      </c>
      <c r="B233" s="55" t="s">
        <v>2903</v>
      </c>
      <c r="C233" s="258" t="s">
        <v>3649</v>
      </c>
      <c r="D233" s="258"/>
      <c r="E233" s="258"/>
      <c r="F233" s="258"/>
      <c r="G233" s="18">
        <v>-1</v>
      </c>
      <c r="H233" s="261" t="s">
        <v>3650</v>
      </c>
      <c r="I233" t="str">
        <f t="shared" si="3"/>
        <v>"NECROMANCY-Sinistre moisson":  {
 "Code" : "Sinistre moisson",
 "Class" : "MAGICIAN",
 "Specialisation" : "NECROMANCY","UseNumber" : -1,
 "Description" : "Au niveau 2, vous gagnez la possibilité de récolter l'énergie de la vie des créatures que vous tuez avec vos sorts. Une fois par tour, quand vous tuez une ou plusieurs créatures avec un sort de niveau 1 ou plus, vous regagnez un nombre de points de vie égal au double du niveau de sort, ou au triple du niveau si le sort appartient à l'école de nécromancie. Cet avantage ne s'applique pas lorsque vous tuez des créatures artificielles ou des morts-vivants."
  }</v>
      </c>
    </row>
    <row r="234" spans="1:9">
      <c r="A234" s="75" t="s">
        <v>247</v>
      </c>
      <c r="B234" s="55" t="s">
        <v>2903</v>
      </c>
      <c r="C234" s="258" t="s">
        <v>3651</v>
      </c>
      <c r="D234" s="258"/>
      <c r="E234" s="258"/>
      <c r="F234" s="258"/>
      <c r="G234" s="18">
        <v>-1</v>
      </c>
      <c r="H234" s="251" t="s">
        <v>3652</v>
      </c>
      <c r="I234" t="str">
        <f t="shared" si="3"/>
        <v>"NECROMANCY-Serviteurs morts-vivants":  {
 "Code" : "Serviteurs morts-vivants",
 "Class" : "MAGICIAN",
 "Specialisation" : "NECROMANCY","UseNumber" : -1,
 "Description" : "Au niveau 6, vous ajoutez le sort animation des morts à votre grimoire s’il n'y est pas déjà. Quand vous lancez animation des morts, vous pouvez cibler un cadavre ou un tas d'os supplémentaire, créant un autre zombi ou squelette, le cas échéant. Chaque fois que vous créez un mort-vivant en utilisant un sort de nécromancie, il obtient des avantages supplémentaires :  Les points de vie maximums de la créature sont augmentés d'un montant égal à votre niveau de magicien. La créature ajoute votre bonus de maîtrise à ses jets de dégâts avec une arme."
  }</v>
      </c>
    </row>
    <row r="235" spans="1:9">
      <c r="A235" s="75" t="s">
        <v>247</v>
      </c>
      <c r="B235" s="55" t="s">
        <v>2903</v>
      </c>
      <c r="C235" s="258" t="s">
        <v>3653</v>
      </c>
      <c r="D235" s="258" t="s">
        <v>2807</v>
      </c>
      <c r="E235" s="258"/>
      <c r="F235" s="258"/>
      <c r="G235" s="18"/>
      <c r="H235" s="261" t="s">
        <v>3654</v>
      </c>
      <c r="I235" t="str">
        <f t="shared" si="3"/>
        <v>"NECROMANCY-Résistance à la non-vie":  {
 "Code" : "Résistance à la non-vie",
 "Class" : "MAGICIAN",
 "Specialisation" : "NECROMANCY","Stats" : true,
 "Description" : "À partir du niveau 10, vous avez la résistance aux dégâts nécrotiques, et vos points de vie maximums ne peuvent être réduits. Vous avez passé tant de temps face à des morts-vivants que les forces qui les animent vous ont habitué à certains de leurs pires effets."
  }</v>
      </c>
    </row>
    <row r="236" spans="1:9">
      <c r="A236" s="274" t="s">
        <v>247</v>
      </c>
      <c r="B236" s="275" t="s">
        <v>2903</v>
      </c>
      <c r="C236" s="272" t="s">
        <v>3655</v>
      </c>
      <c r="D236" s="272"/>
      <c r="E236" s="272"/>
      <c r="F236" s="272"/>
      <c r="G236" s="18">
        <v>-1</v>
      </c>
      <c r="H236" s="271" t="s">
        <v>3656</v>
      </c>
      <c r="I236" t="str">
        <f t="shared" si="3"/>
        <v>"NECROMANCY-Contrôle des morts-vivants":  {
 "Code" : "Contrôle des morts-vivants",
 "Class" : "MAGICIAN",
 "Specialisation" : "NECROMANCY","UseNumber" : -1,
 "Description" : "À partir du niveau 14, vous pouvez utiliser la magie pour contrôler des morts-vivants, même ceux créés par d'autres magiciens. En dépensant une action vous pouvez choisir un mort-vivant situé dans un rayon de 18 mètres autour de vous et que vous pouvez voir. Cette créature doit faire un jet de sauvegarde de Charisme contre votre DD de sauvegarde contre vos sorts. Si elle réussit, vous ne pouvez plus utiliser cette capacité de nouveau sur elle. Si elle échoue, elle devient amicale envers vous et obéit à vos ordres jusqu'à ce que vous utilisiez cette capacité de nouveau.  Les morts-vivants intelligents sont plus difficiles à contrôler de cette façon. Si la cible a une Intelligence de 8 ou plus, elle a l'avantage à son jet de sauvegarde. Si elle échoue au jet de sauvegarde et possède une Intelligence de 12 ou plus, elle peut répéter son jet de sauvegarde à la fin de chaque heure, jusqu'à ce qu'elle réussisse et se libère."
  }</v>
      </c>
    </row>
    <row r="237" spans="1:9">
      <c r="A237" s="75" t="s">
        <v>247</v>
      </c>
      <c r="B237" s="55" t="s">
        <v>2904</v>
      </c>
      <c r="C237" s="258" t="s">
        <v>3657</v>
      </c>
      <c r="D237" s="258"/>
      <c r="E237" s="258"/>
      <c r="F237" s="258"/>
      <c r="G237" s="18">
        <v>-1</v>
      </c>
      <c r="H237" s="261" t="s">
        <v>3658</v>
      </c>
      <c r="I237" t="str">
        <f t="shared" si="3"/>
        <v>"TRANSMUTATION-Transmutateur érudit":  {
 "Code" : "Transmutateur érudit",
 "Class" : "MAGICIAN",
 "Specialisation" : "TRANSMUTATION","UseNumber" : -1,
 "Description" : "Au niveau 2, lorsque vous choisissez cette école, l'or et le temps que vous devez dépenser pour copier un sort de transmutation dans votre grimoire est réduit de moitié."
  }</v>
      </c>
    </row>
    <row r="238" spans="1:9">
      <c r="A238" s="75" t="s">
        <v>247</v>
      </c>
      <c r="B238" s="55" t="s">
        <v>2904</v>
      </c>
      <c r="C238" s="258" t="s">
        <v>3659</v>
      </c>
      <c r="D238" s="258"/>
      <c r="E238" s="258"/>
      <c r="F238" s="258"/>
      <c r="G238" s="18">
        <v>-1</v>
      </c>
      <c r="H238" s="261" t="s">
        <v>3660</v>
      </c>
      <c r="I238" t="str">
        <f t="shared" si="3"/>
        <v>"TRANSMUTATION-Alchimie mineure":  {
 "Code" : "Alchimie mineure",
 "Class" : "MAGICIAN",
 "Specialisation" : "TRANSMUTATION","UseNumber" : -1,
 "Description" : "À partir du niveau 2 vous pouvez altérer temporairement les propriétés physiques d'un objet non-magique, transformant sa substance en une autre. Vous exécutez un processus alchimique spécial sur un objet composé entièrement de bois, de pierre (non-précieuse), de fer, de cuivre ou d'argent, pour le transmuter en un autre de ces matériaux. Pour chaque tranche de 10 minutes passée à exécuter le processus, vous pouvez transformer 30 centimètres cubes de matériaux. Au bout de 1 heure, ou si vous perdez votre concentration (de la même manière que si vous vous concentriez sur un sort), la matière retrouve sa substance originale."
  }</v>
      </c>
    </row>
    <row r="239" spans="1:9">
      <c r="A239" s="75" t="s">
        <v>247</v>
      </c>
      <c r="B239" s="55" t="s">
        <v>2904</v>
      </c>
      <c r="C239" s="258" t="s">
        <v>3661</v>
      </c>
      <c r="D239" s="258"/>
      <c r="E239" s="258"/>
      <c r="F239" s="258"/>
      <c r="G239" s="18">
        <v>-1</v>
      </c>
      <c r="H239" s="251" t="s">
        <v>3662</v>
      </c>
      <c r="I239" t="str">
        <f t="shared" si="3"/>
        <v>"TRANSMUTATION-Pierre du transmutateur":  {
 "Code" : "Pierre du transmutateur",
 "Class" : "MAGICIAN",
 "Specialisation" : "TRANSMUTATION","UseNumber" : -1,
 "Description" : "À partir du niveau 6, vous pouvez passer 8 heures pour créer une pierre du transmutateur capable de contenir de la magie de transmutation. Vous pouvez utiliser la pierre vous-même ou la donner à une autre créature. Une créature gagne un avantage de votre choix tant que la pierre est en sa possession. Quand vous créez la pierre, choisissez son avantage parmi les options suivantes :  Augmentation de la vitesse de 3 mètres quand la créature n'est pas encombrée Maîtrise des jets de sauvegarde de Constitution Résistance à l'acide, au feu, à la foudre, au froid ou au tonnerre (à choisir en même temps que l'avantage) Vision dans le noir à une distance de 18 mètres, telle que décrit dans le chapitre Partir à l'aventure Chaque fois que vous lancez un sort de transmutation de niveau 1 ou plus, vous pouvez changer l'effet de votre pierre si celle-ci est en votre possession. Si vous créez une nouvelle pierre du transmutateur, celle précédemment créée cesse de fonctionner."
  }</v>
      </c>
    </row>
    <row r="240" spans="1:9">
      <c r="A240" s="75" t="s">
        <v>247</v>
      </c>
      <c r="B240" s="55" t="s">
        <v>2904</v>
      </c>
      <c r="C240" s="258" t="s">
        <v>3663</v>
      </c>
      <c r="D240" s="258"/>
      <c r="E240" s="258"/>
      <c r="F240" s="258"/>
      <c r="G240" s="18">
        <v>-1</v>
      </c>
      <c r="H240" s="261" t="s">
        <v>3664</v>
      </c>
      <c r="I240" t="str">
        <f t="shared" si="3"/>
        <v>"TRANSMUTATION-Métamorphe":  {
 "Code" : "Métamorphe",
 "Class" : "MAGICIAN",
 "Specialisation" : "TRANSMUTATION","UseNumber" : -1,
 "Description" : "Au niveau 10, vous ajoutez le sort métamorphose dans votre livre de sorts, s'il n'y est pas déjà inscrit. Vous pouvez lancez métamorphose sans dépenser d'emplacement de sort. En lançant le sort de cette manière, vous ne pouvez que vous cibler vous-même et vous transformer en une bête dont le facteur puissance est de 1 ou moins. Après avoir lanc&amp;eacute métamorphose de cette manière, vous ne pouvez plus le faire jusqu'à ce que vous terminiez un repos court ou long, bien que vous puissiez le lancer normalement en utilisant un emplacement de sort disponible."
  }</v>
      </c>
    </row>
    <row r="241" spans="1:9">
      <c r="A241" s="179" t="s">
        <v>247</v>
      </c>
      <c r="B241" s="182" t="s">
        <v>2904</v>
      </c>
      <c r="C241" s="262" t="s">
        <v>3665</v>
      </c>
      <c r="D241" s="262"/>
      <c r="E241" s="262"/>
      <c r="F241" s="262"/>
      <c r="G241" s="18">
        <v>-1</v>
      </c>
      <c r="H241" s="255" t="s">
        <v>3666</v>
      </c>
      <c r="I241" t="str">
        <f t="shared" si="3"/>
        <v>"TRANSMUTATION-Maître transmutateur":  {
 "Code" : "Maître transmutateur",
 "Class" : "MAGICIAN",
 "Specialisation" : "TRANSMUTATION","UseNumber" : -1,
 "Description" : "À partir du niveau 14, vous pouvez utiliser votre action pour consumer la réserve de magie de transmutation stockée dans votre pierre du transmutateur en une seule explosion d'énergie. En agissant ainsi, choisissez l'un des effets suivants. Votre pierre du transmutateur est alors détruite et ne peut être recréée avant que vous ne terminiez un repos long.  Panacée. Vous mettez fin à toutes les maladies, malédictions et poisons qui affectent une créature en contact avec la pierre du transmutateur. La créature regagne également tous ses points de vie. Rajeunissement. Vous touchez avec la pierre du transmutateur une créature consentante, et l'âge apparent de cette créature est réduit de 3d10 années, jusqu'à un minimum de 13 ans d'âge. Cet effet n'augmente pas l’espérance de vie de la créature. Retour à la vie. Vous lancez le sort rappel à la vie sur une créature que vous touchez au moyen de la pierre du transmutateur, sans avoir besoin d'utiliser un emplacement de sort ou d'avoir le sort écrit dans votre livre de sorts. Transformation majeure. Vous pouvez transmuter un objet non-magique (pas plus grand qu'un cube de 1,50 mètre d'arêtes) en un autre objet non-magique de taille similaire et de masse égale ou inférieure. Vous devez passer 10 minutes à manipuler l'objet pour pouvoir le transformer."
  }</v>
      </c>
    </row>
    <row r="242" spans="1:9">
      <c r="A242" s="264" t="s">
        <v>249</v>
      </c>
      <c r="B242" s="266"/>
      <c r="C242" s="259" t="s">
        <v>176</v>
      </c>
      <c r="D242" s="259" t="s">
        <v>2807</v>
      </c>
      <c r="E242" s="259" t="s">
        <v>2807</v>
      </c>
      <c r="F242" s="259"/>
      <c r="G242" s="18"/>
      <c r="H242" s="267" t="s">
        <v>177</v>
      </c>
      <c r="I242" t="str">
        <f t="shared" si="3"/>
        <v>"MONK-Défense sans armure":  {
 "Code" : "Défense sans armure",
 "Class" : "MONK",
 "Specialisation" : "","Stats" : true,"Auto" : true,
 "Description" : "Dès le niveau 1, tant que vous n'êtes équipé ni d'une armure, ni d'un bouclier, votre CA est égale à 10 + votre modificateur de Dextérité + votre modificateur de Sagesse."
  }</v>
      </c>
    </row>
    <row r="243" spans="1:9">
      <c r="A243" s="75" t="s">
        <v>249</v>
      </c>
      <c r="B243" s="55"/>
      <c r="C243" s="258" t="s">
        <v>187</v>
      </c>
      <c r="D243" s="258" t="s">
        <v>2807</v>
      </c>
      <c r="E243" s="258"/>
      <c r="F243" s="258"/>
      <c r="G243" s="18"/>
      <c r="H243" s="260" t="s">
        <v>188</v>
      </c>
      <c r="I243" t="str">
        <f t="shared" si="3"/>
        <v>"MONK-Tradition monastique":  {
 "Code" : "Tradition monastique",
 "Class" : "MONK",
 "Specialisation" : "","Stats" : true,
 "Description" : "Au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
  }</v>
      </c>
    </row>
    <row r="244" spans="1:9">
      <c r="A244" s="75" t="s">
        <v>249</v>
      </c>
      <c r="B244" s="55"/>
      <c r="C244" s="258" t="s">
        <v>178</v>
      </c>
      <c r="D244" s="258"/>
      <c r="E244" s="258"/>
      <c r="F244" s="258"/>
      <c r="G244" s="18">
        <v>-1</v>
      </c>
      <c r="H244" s="251" t="s">
        <v>3667</v>
      </c>
      <c r="I244" t="str">
        <f t="shared" si="3"/>
        <v>"MONK-Arts martiaux":  {
 "Code" : "Arts martiaux",
 "Class" : "MONK",
 "Specialisation" : "","UseNumber" : -1,
 "Description" : "Au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  Vous pouvez utiliser la Dextérité à la place de la Force aux jets d'attaque et de dégâts de vos attaques à mains nues et avec des armes de moine. Vous pouvez lancer un d4 à la place des dégâts normaux de votre attaque à mains nues ou de vos armes de moine. Ce dé change lorsque vous gagnez des niveaux de moine, comme indiqué dans la colonne Arts martiaux de la table ci-dessus. 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  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
  }</v>
      </c>
    </row>
    <row r="245" spans="1:9">
      <c r="A245" s="75" t="s">
        <v>249</v>
      </c>
      <c r="B245" s="55"/>
      <c r="C245" s="258" t="s">
        <v>163</v>
      </c>
      <c r="D245" s="258" t="s">
        <v>2807</v>
      </c>
      <c r="E245" s="258" t="s">
        <v>2807</v>
      </c>
      <c r="F245" s="258" t="s">
        <v>2807</v>
      </c>
      <c r="G245" s="18"/>
      <c r="H245" s="251" t="s">
        <v>3668</v>
      </c>
      <c r="I245" t="str">
        <f t="shared" si="3"/>
        <v>"MONK-Ki":  {
 "Code" : "Ki",
 "Class" : "MONK",
 "Specialisation" : "","Stats" : true,"Auto" : true,"Special" : true,
 "Description" : "À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  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  DD du jet de sauvegarde du ki = 8 + votre bonus de maîtrise + votre modificateur de Sagesse"
  }</v>
      </c>
    </row>
    <row r="246" spans="1:9">
      <c r="A246" s="75" t="s">
        <v>249</v>
      </c>
      <c r="B246" s="18"/>
      <c r="C246" s="258" t="s">
        <v>179</v>
      </c>
      <c r="D246" s="258"/>
      <c r="E246" s="258"/>
      <c r="F246" s="258" t="s">
        <v>2807</v>
      </c>
      <c r="G246" s="18"/>
      <c r="H246" s="260" t="s">
        <v>180</v>
      </c>
      <c r="I246" t="str">
        <f t="shared" si="3"/>
        <v>"MONK-Défense patiente":  {
 "Code" : "Défense patiente",
 "Class" : "MONK",
 "Specialisation" : "","Special" : true,
 "Description" : "Vous pouvez dépenser 1 point ki pour utiliser l'action Esquiver via une action bonus au cours de votre tour."
  }</v>
      </c>
    </row>
    <row r="247" spans="1:9">
      <c r="A247" s="75" t="s">
        <v>249</v>
      </c>
      <c r="B247" s="18"/>
      <c r="C247" s="258" t="s">
        <v>181</v>
      </c>
      <c r="D247" s="258"/>
      <c r="E247" s="258"/>
      <c r="F247" s="258" t="s">
        <v>2807</v>
      </c>
      <c r="G247" s="18"/>
      <c r="H247" s="260" t="s">
        <v>182</v>
      </c>
      <c r="I247" t="str">
        <f t="shared" si="3"/>
        <v>"MONK-Déluge de coups":  {
 "Code" : "Déluge de coups",
 "Class" : "MONK",
 "Specialisation" : "","Special" : true,
 "Description" : "Immédiatement après avoir utilisé une action Attaquer au cours de votre tour, vous pouvez dépenser 1 point ki pour effectuer deux attaques à mains nues via une action bonus."
  }</v>
      </c>
    </row>
    <row r="248" spans="1:9">
      <c r="A248" s="75" t="s">
        <v>249</v>
      </c>
      <c r="B248" s="18"/>
      <c r="C248" s="258" t="s">
        <v>183</v>
      </c>
      <c r="D248" s="258"/>
      <c r="E248" s="258"/>
      <c r="F248" s="258" t="s">
        <v>2807</v>
      </c>
      <c r="G248" s="18"/>
      <c r="H248" s="260" t="s">
        <v>184</v>
      </c>
      <c r="I248" t="str">
        <f t="shared" si="3"/>
        <v>"MONK-Déplacement aérien":  {
 "Code" : "Déplacement aérien",
 "Class" : "MONK",
 "Specialisation" : "","Special" : true,
 "Description" : "Vous pouvez dépenser 1 point ki pour utiliser l'action Se Désengager ou l'action Foncer via une action bonus au cours de votre tour, de plus votre distance de saut est doublée pour le tour."
  }</v>
      </c>
    </row>
    <row r="249" spans="1:9">
      <c r="A249" s="75" t="s">
        <v>249</v>
      </c>
      <c r="B249" s="18"/>
      <c r="C249" s="258" t="s">
        <v>185</v>
      </c>
      <c r="D249" s="258" t="s">
        <v>2807</v>
      </c>
      <c r="E249" s="258" t="s">
        <v>2807</v>
      </c>
      <c r="F249" s="258"/>
      <c r="G249" s="18"/>
      <c r="H249" s="260" t="s">
        <v>186</v>
      </c>
      <c r="I249" t="str">
        <f t="shared" si="3"/>
        <v>"MONK-Déplacement sans armure":  {
 "Code" : "Déplacement sans armure",
 "Class" : "MONK",
 "Specialisation" : "","Stats" : true,"Auto" : true,
 "Description" : "À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
  }</v>
      </c>
    </row>
    <row r="250" spans="1:9">
      <c r="A250" s="75" t="s">
        <v>249</v>
      </c>
      <c r="B250" s="18"/>
      <c r="C250" s="258" t="s">
        <v>189</v>
      </c>
      <c r="D250" s="258"/>
      <c r="E250" s="258"/>
      <c r="F250" s="258"/>
      <c r="G250" s="18">
        <v>-1</v>
      </c>
      <c r="H250" s="260" t="s">
        <v>190</v>
      </c>
      <c r="I250" t="str">
        <f t="shared" si="3"/>
        <v>"MONK-Parade de projectiles":  {
 "Code" : "Parade de projectiles",
 "Class" : "MONK",
 "Specialisation" : "","UseNumber" : -1,
 "Description" : "À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
  }</v>
      </c>
    </row>
    <row r="251" spans="1:9">
      <c r="A251" s="75" t="s">
        <v>249</v>
      </c>
      <c r="B251" s="18"/>
      <c r="C251" s="258" t="s">
        <v>167</v>
      </c>
      <c r="D251" s="258" t="s">
        <v>2807</v>
      </c>
      <c r="E251" s="258"/>
      <c r="F251" s="258"/>
      <c r="G251" s="18"/>
      <c r="H251" s="261" t="s">
        <v>191</v>
      </c>
      <c r="I251" t="str">
        <f t="shared" si="3"/>
        <v>"MONK-Amélioration de caractéristiques":  {
 "Code" : "Amélioration de caractéristiques",
 "Class" : "MONK",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252" spans="1:9">
      <c r="A252" s="75" t="s">
        <v>249</v>
      </c>
      <c r="B252" s="18"/>
      <c r="C252" s="258" t="s">
        <v>192</v>
      </c>
      <c r="D252" s="258"/>
      <c r="E252" s="258"/>
      <c r="F252" s="258"/>
      <c r="G252" s="18">
        <v>-1</v>
      </c>
      <c r="H252" s="261" t="s">
        <v>193</v>
      </c>
      <c r="I252" t="str">
        <f t="shared" si="3"/>
        <v>"MONK-Chute ralentie":  {
 "Code" : "Chute ralentie",
 "Class" : "MONK",
 "Specialisation" : "","UseNumber" : -1,
 "Description" : "Dès le niveau 4, vous pouvez utiliser votre réaction lorsque vous tombez pour réduire les dégâts consécutifs à une chute d'un montant égal à cinq fois votre niveau de moine."
  }</v>
      </c>
    </row>
    <row r="253" spans="1:9">
      <c r="A253" s="75" t="s">
        <v>249</v>
      </c>
      <c r="B253" s="18"/>
      <c r="C253" s="258" t="s">
        <v>194</v>
      </c>
      <c r="D253" s="258"/>
      <c r="E253" s="258"/>
      <c r="F253" s="258"/>
      <c r="G253" s="18">
        <v>-1</v>
      </c>
      <c r="H253" s="261" t="s">
        <v>195</v>
      </c>
      <c r="I253" t="str">
        <f t="shared" si="3"/>
        <v>"MONK-Attaque supplémentaire":  {
 "Code" : "Attaque supplémentaire",
 "Class" : "MONK",
 "Specialisation" : "","UseNumber" : -1,
 "Description" : "À partir du niveau 5, vous pouvez attaquer deux fois, au lieu d'une, lorsque vous utiliser une action Attaquer lors de votre tour."
  }</v>
      </c>
    </row>
    <row r="254" spans="1:9">
      <c r="A254" s="75" t="s">
        <v>249</v>
      </c>
      <c r="B254" s="18"/>
      <c r="C254" s="258" t="s">
        <v>196</v>
      </c>
      <c r="D254" s="258"/>
      <c r="E254" s="258"/>
      <c r="F254" s="258"/>
      <c r="G254" s="18">
        <v>-1</v>
      </c>
      <c r="H254" s="261" t="s">
        <v>3669</v>
      </c>
      <c r="I254" t="str">
        <f t="shared" si="3"/>
        <v>"MONK-Frappe étourdissante":  {
 "Code" : "Frappe étourdissante",
 "Class" : "MONK",
 "Specialisation" : "","UseNumber" : -1,
 "Description" : "À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
  }</v>
      </c>
    </row>
    <row r="255" spans="1:9">
      <c r="A255" s="75" t="s">
        <v>249</v>
      </c>
      <c r="B255" s="18"/>
      <c r="C255" s="258" t="s">
        <v>197</v>
      </c>
      <c r="D255" s="258"/>
      <c r="E255" s="258"/>
      <c r="F255" s="258"/>
      <c r="G255" s="18">
        <v>-1</v>
      </c>
      <c r="H255" s="261" t="s">
        <v>198</v>
      </c>
      <c r="I255" t="str">
        <f t="shared" si="3"/>
        <v>"MONK-Frappes de ki":  {
 "Code" : "Frappes de ki",
 "Class" : "MONK",
 "Specialisation" : "","UseNumber" : -1,
 "Description" : "À partir du niveau 6, vos attaques à mains nues sont considérées comme des attaques magiques pour ce qui est de vaincre la résistance et l'immunité aux attaques et dégâts non-magiques."
  }</v>
      </c>
    </row>
    <row r="256" spans="1:9">
      <c r="A256" s="75" t="s">
        <v>249</v>
      </c>
      <c r="B256" s="18"/>
      <c r="C256" s="258" t="s">
        <v>199</v>
      </c>
      <c r="D256" s="258"/>
      <c r="E256" s="258"/>
      <c r="F256" s="258"/>
      <c r="G256" s="18">
        <v>-1</v>
      </c>
      <c r="H256" s="261" t="s">
        <v>3670</v>
      </c>
      <c r="I256" t="str">
        <f t="shared" si="3"/>
        <v>"MONK-Dérobade":  {
 "Code" : "Dérobade",
 "Class" : "MONK",
 "Specialisation" : "","UseNumber" : -1,
 "Description" : "Au niveau 7, votre agilité instinctive vous permet d'esquiver certains effets de zone, comme le souffle d'un dragon bleu ou le sort boule de feu. Lorsque vous êtes sujet à un effet qui vous autorise un jet de sauvegarde de Dextérité pour ne subir que la moitié de ses dégâts initiaux, vous ne subissez aucun dégât si vous réussissez votre jet de sauvegarde, et seulement la moitié des dégâts si vous l'échouez."
  }</v>
      </c>
    </row>
    <row r="257" spans="1:9">
      <c r="A257" s="75" t="s">
        <v>249</v>
      </c>
      <c r="B257" s="18"/>
      <c r="C257" s="258" t="s">
        <v>200</v>
      </c>
      <c r="D257" s="258"/>
      <c r="E257" s="258"/>
      <c r="F257" s="258"/>
      <c r="G257" s="18">
        <v>-1</v>
      </c>
      <c r="H257" s="261" t="s">
        <v>201</v>
      </c>
      <c r="I257" t="str">
        <f t="shared" si="3"/>
        <v>"MONK-Tranquillité de l'esprit":  {
 "Code" : "Tranquillité de l'esprit",
 "Class" : "MONK",
 "Specialisation" : "","UseNumber" : -1,
 "Description" : "À partir du niveau 7, vous pouvez utiliser votre action pour mettre fin à un effet qui vous affecte et vous inflige la condition charmé ou effrayé."
  }</v>
      </c>
    </row>
    <row r="258" spans="1:9">
      <c r="A258" s="75" t="s">
        <v>249</v>
      </c>
      <c r="B258" s="18"/>
      <c r="C258" s="258" t="s">
        <v>168</v>
      </c>
      <c r="D258" s="258" t="s">
        <v>2807</v>
      </c>
      <c r="E258" s="258"/>
      <c r="F258" s="258"/>
      <c r="G258" s="18">
        <v>-1</v>
      </c>
      <c r="H258" s="261" t="s">
        <v>202</v>
      </c>
      <c r="I258" t="str">
        <f t="shared" si="3"/>
        <v>"MONK-Pureté du corps":  {
 "Code" : "Pureté du corps",
 "Class" : "MONK",
 "Specialisation" : "","Stats" : true,"UseNumber" : -1,
 "Description" : "Au niveau 10, votre maîtrise du flux de ki qui vous parcourt vous immunise aux maladies et aux poisons."
  }</v>
      </c>
    </row>
    <row r="259" spans="1:9">
      <c r="A259" s="75" t="s">
        <v>249</v>
      </c>
      <c r="B259" s="18"/>
      <c r="C259" s="258" t="s">
        <v>170</v>
      </c>
      <c r="D259" s="258"/>
      <c r="E259" s="258"/>
      <c r="F259" s="258"/>
      <c r="G259" s="18">
        <v>-1</v>
      </c>
      <c r="H259" s="261" t="s">
        <v>203</v>
      </c>
      <c r="I259" t="str">
        <f t="shared" ref="I259:I322" si="4">""""&amp;IF(ISBLANK(B259),A259,B259)&amp;"-"&amp;C259&amp;""":  {
 ""Code"" : """&amp;C259&amp;""",
 ""Class"" : """&amp;A259&amp;""",
 ""Specialisation"" : """&amp;B259&amp;""","
 &amp;IF(ISBLANK(D259),"", """Stats"" : "&amp;D259&amp;",")
 &amp;IF(ISBLANK(E259),"", """Auto"" : "&amp;E259&amp;",")
 &amp;IF(ISBLANK(G259),"", """UseNumber"" : "&amp;G259&amp;",")
 &amp;IF(ISBLANK(F259),"", """Special"" : "&amp;F259&amp;",")&amp;"
 ""Description"" : """&amp;SUBSTITUTE(H259,CHAR(10)," ")&amp;"""
  }"</f>
        <v>"MONK-Langage du soleil et de la lune":  {
 "Code" : "Langage du soleil et de la lune",
 "Class" : "MONK",
 "Specialisation" : "","UseNumber" : -1,
 "Description" : "À partir du niveau 13, vous apprenez à entrer en contact avec le ki d'autres consciences, ce qui vous permet de comprendre toutes les langues parlées. De plus, toute créature qui peut comprendre un langage peut comprendre ce que vous dites."
  }</v>
      </c>
    </row>
    <row r="260" spans="1:9">
      <c r="A260" s="75" t="s">
        <v>249</v>
      </c>
      <c r="B260" s="18"/>
      <c r="C260" s="258" t="s">
        <v>171</v>
      </c>
      <c r="D260" s="258" t="s">
        <v>2807</v>
      </c>
      <c r="E260" s="258"/>
      <c r="F260" s="258"/>
      <c r="G260" s="18"/>
      <c r="H260" s="261" t="s">
        <v>204</v>
      </c>
      <c r="I260" t="str">
        <f t="shared" si="4"/>
        <v>"MONK-Âme de diamant":  {
 "Code" : "Âme de diamant",
 "Class" : "MONK",
 "Specialisation" : "","Stats" : true,
 "Description" : "Dès le niveau 14, votre maîtrise du ki vous confère la maîtrise de tous les jets de sauvegarde. De plus, lorsque vous effectuez un jet de sauvegarde et l'échouez, vous pouvez dépenser 1 point ki pour le retenter ; vous devez prendre ce second résultat."
  }</v>
      </c>
    </row>
    <row r="261" spans="1:9">
      <c r="A261" s="75" t="s">
        <v>249</v>
      </c>
      <c r="B261" s="18"/>
      <c r="C261" s="258" t="s">
        <v>172</v>
      </c>
      <c r="D261" s="258"/>
      <c r="E261" s="258"/>
      <c r="F261" s="258"/>
      <c r="G261" s="18">
        <v>-1</v>
      </c>
      <c r="H261" s="261" t="s">
        <v>205</v>
      </c>
      <c r="I261" t="str">
        <f t="shared" si="4"/>
        <v>"MONK-Jeunesse éternelle":  {
 "Code" : "Jeunesse éternelle",
 "Class" : "MONK",
 "Specialisation" : "","UseNumber" : -1,
 "Description" : "Au niveau 15, votre ki vous sustente, ce qui fait que vous ne souffrez plus des affres de la vieillesse, et vous ne pouvez plus être vieilli par magie. Vous pouvez cependant toujours mourir de vieillesse. Enfin, vous n'avez plus besoin de manger ni de boire."
  }</v>
      </c>
    </row>
    <row r="262" spans="1:9">
      <c r="A262" s="75" t="s">
        <v>249</v>
      </c>
      <c r="B262" s="18"/>
      <c r="C262" s="258" t="s">
        <v>174</v>
      </c>
      <c r="D262" s="258"/>
      <c r="E262" s="258"/>
      <c r="F262" s="258" t="s">
        <v>2807</v>
      </c>
      <c r="G262" s="18"/>
      <c r="H262" s="261" t="s">
        <v>3671</v>
      </c>
      <c r="I262" t="str">
        <f t="shared" si="4"/>
        <v>"MONK-Corps vide":  {
 "Code" : "Corps vide",
 "Class" : "MONK",
 "Specialisation" : "","Special" : true,
 "Description" : "À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
  }</v>
      </c>
    </row>
    <row r="263" spans="1:9">
      <c r="A263" s="274" t="s">
        <v>249</v>
      </c>
      <c r="B263" s="270"/>
      <c r="C263" s="272" t="s">
        <v>175</v>
      </c>
      <c r="D263" s="272"/>
      <c r="E263" s="272"/>
      <c r="F263" s="272"/>
      <c r="G263" s="18">
        <v>-1</v>
      </c>
      <c r="H263" s="273" t="s">
        <v>206</v>
      </c>
      <c r="I263" t="str">
        <f t="shared" si="4"/>
        <v>"MONK-Perfection de l'être":  {
 "Code" : "Perfection de l'être",
 "Class" : "MONK",
 "Specialisation" : "","UseNumber" : -1,
 "Description" : "Au niveau 20, lorsque vous lancez l'initiative et n'avez plus de points de ki disponibles, vous regagnez 4 points ki."
  }</v>
      </c>
    </row>
    <row r="264" spans="1:9">
      <c r="A264" s="75" t="s">
        <v>249</v>
      </c>
      <c r="B264" s="18" t="s">
        <v>2888</v>
      </c>
      <c r="C264" s="258" t="s">
        <v>209</v>
      </c>
      <c r="D264" s="258"/>
      <c r="E264" s="258"/>
      <c r="F264" s="258"/>
      <c r="G264" s="18">
        <v>-1</v>
      </c>
      <c r="H264" s="251" t="s">
        <v>3672</v>
      </c>
      <c r="I264" t="str">
        <f t="shared" si="4"/>
        <v>"OPENED_HAND_WAY-Technique de la main ouverte":  {
 "Code" : "Technique de la main ouverte",
 "Class" : "MONK",
 "Specialisation" : "OPENED_HAND_WAY","UseNumber" : -1,
 "Description" : "Dès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  Elle doit réussir un jet de sauvegarde de Dextérité sous peine de tomber à terre. Elle doit réussir un jet de sauvegarde de Force. En cas d'échec, vous pouvez la repousser de 4,50 mètres. Elle ne peut utiliser de réaction jusqu'à la fin de votre prochain tour."
  }</v>
      </c>
    </row>
    <row r="265" spans="1:9">
      <c r="A265" s="75" t="s">
        <v>249</v>
      </c>
      <c r="B265" s="18" t="s">
        <v>2888</v>
      </c>
      <c r="C265" s="258" t="s">
        <v>210</v>
      </c>
      <c r="D265" s="258"/>
      <c r="E265" s="258"/>
      <c r="F265" s="258"/>
      <c r="G265" s="18">
        <v>-1</v>
      </c>
      <c r="H265" s="261" t="s">
        <v>211</v>
      </c>
      <c r="I265" t="str">
        <f t="shared" si="4"/>
        <v>"OPENED_HAND_WAY-Intégrité physique":  {
 "Code" : "Intégrité physique",
 "Class" : "MONK",
 "Specialisation" : "OPENED_HAND_WAY","UseNumber" : -1,
 "Description" : "Au niveau 6, vous gagnez la capacité de vous soigner vous-même. Par une action, vous pouvez récupérer un nombre de points de vie égal à trois fois votre niveau de moine. Vous devez terminer un repos long avant de pouvoir utiliser de nouveau cette capacité."
  }</v>
      </c>
    </row>
    <row r="266" spans="1:9">
      <c r="A266" s="75" t="s">
        <v>249</v>
      </c>
      <c r="B266" s="18" t="s">
        <v>2888</v>
      </c>
      <c r="C266" s="258" t="s">
        <v>212</v>
      </c>
      <c r="D266" s="258"/>
      <c r="E266" s="258"/>
      <c r="F266" s="258"/>
      <c r="G266" s="18">
        <v>-1</v>
      </c>
      <c r="H266" s="261" t="s">
        <v>3673</v>
      </c>
      <c r="I266" t="str">
        <f t="shared" si="4"/>
        <v>"OPENED_HAND_WAY-Tranquillité":  {
 "Code" : "Tranquillité",
 "Class" : "MONK",
 "Specialisation" : "OPENED_HAND_WAY","UseNumber" : -1,
 "Description" : "À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
  }</v>
      </c>
    </row>
    <row r="267" spans="1:9">
      <c r="A267" s="274" t="s">
        <v>249</v>
      </c>
      <c r="B267" s="270" t="s">
        <v>2888</v>
      </c>
      <c r="C267" s="272" t="s">
        <v>213</v>
      </c>
      <c r="D267" s="272"/>
      <c r="E267" s="272"/>
      <c r="F267" s="272"/>
      <c r="G267" s="18">
        <v>-1</v>
      </c>
      <c r="H267" s="273" t="s">
        <v>214</v>
      </c>
      <c r="I267" t="str">
        <f t="shared" si="4"/>
        <v>"OPENED_HAND_WAY-Paume frémissante":  {
 "Code" : "Paume frémissante",
 "Class" : "MONK",
 "Specialisation" : "OPENED_HAND_WAY","UseNumber" : -1,
 "Description" : "Au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
  }</v>
      </c>
    </row>
    <row r="268" spans="1:9">
      <c r="A268" s="75" t="s">
        <v>249</v>
      </c>
      <c r="B268" s="18" t="s">
        <v>2889</v>
      </c>
      <c r="C268" s="258" t="s">
        <v>217</v>
      </c>
      <c r="D268" s="258"/>
      <c r="E268" s="258"/>
      <c r="F268" s="258" t="s">
        <v>2807</v>
      </c>
      <c r="G268" s="18"/>
      <c r="H268" s="261" t="s">
        <v>3674</v>
      </c>
      <c r="I268" t="str">
        <f t="shared" si="4"/>
        <v>"SHADOW_WAY-Arts de l'ombre":  {
 "Code" : "Arts de l'ombre",
 "Class" : "MONK",
 "Specialisation" : "SHADOW_WAY","Special" : true,
 "Description" : "Dès que vous choisissez cette voie au niveau 3, vous pouvez utiliser votre ki pour reproduire les effets de certains sorts. Par une action, vous pouvez dépenser 2 points ki pour lancer ténèbres, vision dans le noir, passage sans trace ou silence, sans avoir besoin de fournir les composantes matérielles. De plus, vous gagnez le sort mineur illusion mineure si vous ne le connaissez pas déjà."
  }</v>
      </c>
    </row>
    <row r="269" spans="1:9">
      <c r="A269" s="75" t="s">
        <v>249</v>
      </c>
      <c r="B269" s="18" t="s">
        <v>2889</v>
      </c>
      <c r="C269" s="258" t="s">
        <v>218</v>
      </c>
      <c r="D269" s="258"/>
      <c r="E269" s="258"/>
      <c r="F269" s="258"/>
      <c r="G269" s="18">
        <v>-1</v>
      </c>
      <c r="H269" s="261" t="s">
        <v>219</v>
      </c>
      <c r="I269" t="str">
        <f t="shared" si="4"/>
        <v>"SHADOW_WAY-Pas de l'ombre":  {
 "Code" : "Pas de l'ombre",
 "Class" : "MONK",
 "Specialisation" : "SHADOW_WAY","UseNumber" : -1,
 "Description" : "Au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
  }</v>
      </c>
    </row>
    <row r="270" spans="1:9">
      <c r="A270" s="75" t="s">
        <v>249</v>
      </c>
      <c r="B270" s="18" t="s">
        <v>2889</v>
      </c>
      <c r="C270" s="258" t="s">
        <v>220</v>
      </c>
      <c r="D270" s="258"/>
      <c r="E270" s="258"/>
      <c r="F270" s="258"/>
      <c r="G270" s="18">
        <v>-1</v>
      </c>
      <c r="H270" s="261" t="s">
        <v>221</v>
      </c>
      <c r="I270" t="str">
        <f t="shared" si="4"/>
        <v>"SHADOW_WAY-Linceul d'ombre":  {
 "Code" : "Linceul d'ombre",
 "Class" : "MONK",
 "Specialisation" : "SHADOW_WAY","UseNumber" : -1,
 "Description" : "Au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
  }</v>
      </c>
    </row>
    <row r="271" spans="1:9">
      <c r="A271" s="274" t="s">
        <v>249</v>
      </c>
      <c r="B271" s="270" t="s">
        <v>2889</v>
      </c>
      <c r="C271" s="272" t="s">
        <v>222</v>
      </c>
      <c r="D271" s="272"/>
      <c r="E271" s="272"/>
      <c r="F271" s="272"/>
      <c r="G271" s="18">
        <v>-1</v>
      </c>
      <c r="H271" s="273" t="s">
        <v>223</v>
      </c>
      <c r="I271" t="str">
        <f t="shared" si="4"/>
        <v>"SHADOW_WAY-Opportuniste":  {
 "Code" : "Opportuniste",
 "Class" : "MONK",
 "Specialisation" : "SHADOW_WAY","UseNumber" : -1,
 "Description" : "Au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
  }</v>
      </c>
    </row>
    <row r="272" spans="1:9">
      <c r="A272" s="75" t="s">
        <v>249</v>
      </c>
      <c r="B272" s="18" t="s">
        <v>2890</v>
      </c>
      <c r="C272" s="258" t="s">
        <v>226</v>
      </c>
      <c r="D272" s="258"/>
      <c r="E272" s="258"/>
      <c r="F272" s="258"/>
      <c r="G272" s="18">
        <v>-1</v>
      </c>
      <c r="H272" s="251" t="s">
        <v>3675</v>
      </c>
      <c r="I272" t="str">
        <f t="shared" si="4"/>
        <v>"ELEMENTS_WAY-Disciple des éléments":  {
 "Code" : "Disciple des éléments",
 "Class" : "MONK",
 "Specialisation" : "ELEMENTS_WAY","UseNumber" : -1,
 "Description" : "Lorsque vous choisissez cette tradition au niveau 3, vous apprenez des techniques magiques qui exploitent le pouvoir des quatre éléments. Une technique requiert que vous dépensiez des points ki à chaque fois que vous l'utilisez.  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  Lancement de sorts élémentaires.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mains brûlantes. Le niveau du sort augmente de 1 pour chaque point ki supplémentaire que vous dépensez. Par exemple, si vous êtes un moine de niveau 5 et utilisez le Toucher des cendres ravageuses pour lancer mains brûlantes,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  Niveaux de moine	Maximum de points ki par sort 5-8	                3 9-12	            4 13-16	            5 17-20	            6"
  }</v>
      </c>
    </row>
    <row r="273" spans="1:9">
      <c r="A273" s="75" t="s">
        <v>249</v>
      </c>
      <c r="B273" s="18" t="s">
        <v>2890</v>
      </c>
      <c r="C273" s="258" t="s">
        <v>3676</v>
      </c>
      <c r="D273" s="258"/>
      <c r="E273" s="258"/>
      <c r="F273" s="258" t="s">
        <v>2807</v>
      </c>
      <c r="G273" s="18"/>
      <c r="H273" s="261" t="s">
        <v>3677</v>
      </c>
      <c r="I273" t="str">
        <f t="shared" si="4"/>
        <v>"ELEMENTS_WAY-Chevauchée du vent":  {
 "Code" : "Chevauchée du vent",
 "Class" : "MONK",
 "Specialisation" : "ELEMENTS_WAY","Special" : true,
 "Description" : "(niveau 11 requis). Vous pouvez dépenser 4 points ki pour lancer le sort vol, en vous ciblant."
  }</v>
      </c>
    </row>
    <row r="274" spans="1:9">
      <c r="A274" s="75" t="s">
        <v>249</v>
      </c>
      <c r="B274" s="18" t="s">
        <v>2890</v>
      </c>
      <c r="C274" s="258" t="s">
        <v>3678</v>
      </c>
      <c r="D274" s="258"/>
      <c r="E274" s="258"/>
      <c r="F274" s="258" t="s">
        <v>2807</v>
      </c>
      <c r="G274" s="18"/>
      <c r="H274" s="261" t="s">
        <v>3679</v>
      </c>
      <c r="I274" t="str">
        <f t="shared" si="4"/>
        <v>"ELEMENTS_WAY-Crochets du serpent de feu":  {
 "Code" : "Crochets du serpent de feu",
 "Class" : "MONK",
 "Specialisation" : "ELEMENTS_WAY","Special" : true,
 "Description" :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
  }</v>
      </c>
    </row>
    <row r="275" spans="1:9">
      <c r="A275" s="75" t="s">
        <v>249</v>
      </c>
      <c r="B275" s="18" t="s">
        <v>2890</v>
      </c>
      <c r="C275" s="258" t="s">
        <v>3680</v>
      </c>
      <c r="D275" s="258"/>
      <c r="E275" s="258"/>
      <c r="F275" s="258" t="s">
        <v>2807</v>
      </c>
      <c r="G275" s="18"/>
      <c r="H275" s="261" t="s">
        <v>3683</v>
      </c>
      <c r="I275" t="str">
        <f t="shared" si="4"/>
        <v>"ELEMENTS_WAY-Défense de la montagne éternelle":  {
 "Code" : "Défense de la montagne éternelle",
 "Class" : "MONK",
 "Specialisation" : "ELEMENTS_WAY","Special" : true,
 "Description" : "(niveau 17 requis). Vous pouvez dépenser 5 points ki pour lancer sur vous-même le sort peau de pierre."
  }</v>
      </c>
    </row>
    <row r="276" spans="1:9">
      <c r="A276" s="75" t="s">
        <v>249</v>
      </c>
      <c r="B276" s="18" t="s">
        <v>2890</v>
      </c>
      <c r="C276" s="258" t="s">
        <v>3681</v>
      </c>
      <c r="D276" s="258"/>
      <c r="E276" s="258"/>
      <c r="F276" s="258" t="s">
        <v>2807</v>
      </c>
      <c r="G276" s="18"/>
      <c r="H276" s="261" t="s">
        <v>3682</v>
      </c>
      <c r="I276" t="str">
        <f t="shared" si="4"/>
        <v>"ELEMENTS_WAY-Façonnage de la rivière":  {
 "Code" : "Façonnage de la rivière",
 "Class" : "MONK",
 "Specialisation" : "ELEMENTS_WAY","Special" : true,
 "Description" :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
  }</v>
      </c>
    </row>
    <row r="277" spans="1:9">
      <c r="A277" s="75" t="s">
        <v>249</v>
      </c>
      <c r="B277" s="18" t="s">
        <v>2890</v>
      </c>
      <c r="C277" s="258" t="s">
        <v>3684</v>
      </c>
      <c r="D277" s="258"/>
      <c r="E277" s="258"/>
      <c r="F277" s="258" t="s">
        <v>2807</v>
      </c>
      <c r="G277" s="18"/>
      <c r="H277" s="261" t="s">
        <v>3685</v>
      </c>
      <c r="I277" t="str">
        <f t="shared" si="4"/>
        <v>"ELEMENTS_WAY-Flammes du phénix":  {
 "Code" : "Flammes du phénix",
 "Class" : "MONK",
 "Specialisation" : "ELEMENTS_WAY","Special" : true,
 "Description" : "(niveau 11 requis). Vous pouvez dépenser 4 points ki pour lancer le sort boule de feu."
  }</v>
      </c>
    </row>
    <row r="278" spans="1:9">
      <c r="A278" s="75" t="s">
        <v>249</v>
      </c>
      <c r="B278" s="18" t="s">
        <v>2890</v>
      </c>
      <c r="C278" s="258" t="s">
        <v>3686</v>
      </c>
      <c r="D278" s="258"/>
      <c r="E278" s="258"/>
      <c r="F278" s="258" t="s">
        <v>2807</v>
      </c>
      <c r="G278" s="18"/>
      <c r="H278" s="261" t="s">
        <v>3687</v>
      </c>
      <c r="I278" t="str">
        <f t="shared" si="4"/>
        <v>"ELEMENTS_WAY-Forme brumeuse":  {
 "Code" : "Forme brumeuse",
 "Class" : "MONK",
 "Specialisation" : "ELEMENTS_WAY","Special" : true,
 "Description" : "(niveau 11 requis). Vous pouvez dépenser 4 points ki pour lancer sur vous-même le sort forme gazeuse."
  }</v>
      </c>
    </row>
    <row r="279" spans="1:9">
      <c r="A279" s="75" t="s">
        <v>249</v>
      </c>
      <c r="B279" s="18" t="s">
        <v>2890</v>
      </c>
      <c r="C279" s="258" t="s">
        <v>3688</v>
      </c>
      <c r="D279" s="258"/>
      <c r="E279" s="258"/>
      <c r="F279" s="258" t="s">
        <v>2807</v>
      </c>
      <c r="G279" s="18"/>
      <c r="H279" s="261" t="s">
        <v>3689</v>
      </c>
      <c r="I279" t="str">
        <f t="shared" si="4"/>
        <v>"ELEMENTS_WAY-Fouet d'eau":  {
 "Code" : "Fouet d'eau",
 "Class" : "MONK",
 "Specialisation" : "ELEMENTS_WAY","Special" : true,
 "Description" :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
  }</v>
      </c>
    </row>
    <row r="280" spans="1:9">
      <c r="A280" s="75" t="s">
        <v>249</v>
      </c>
      <c r="B280" s="18" t="s">
        <v>2890</v>
      </c>
      <c r="C280" s="258" t="s">
        <v>3690</v>
      </c>
      <c r="D280" s="258"/>
      <c r="E280" s="258"/>
      <c r="F280" s="258" t="s">
        <v>2807</v>
      </c>
      <c r="G280" s="18"/>
      <c r="H280" s="261" t="s">
        <v>3691</v>
      </c>
      <c r="I280" t="str">
        <f t="shared" si="4"/>
        <v>"ELEMENTS_WAY-Frappe incandescente écrasante":  {
 "Code" : "Frappe incandescente écrasante",
 "Class" : "MONK",
 "Specialisation" : "ELEMENTS_WAY","Special" : true,
 "Description" : "Vous pouvez dépenser 2 points ki pour lancer le sort mains brûlantes."
  }</v>
      </c>
    </row>
    <row r="281" spans="1:9">
      <c r="A281" s="75" t="s">
        <v>249</v>
      </c>
      <c r="B281" s="18" t="s">
        <v>2890</v>
      </c>
      <c r="C281" s="258" t="s">
        <v>3692</v>
      </c>
      <c r="D281" s="258"/>
      <c r="E281" s="258"/>
      <c r="F281" s="258" t="s">
        <v>2807</v>
      </c>
      <c r="G281" s="18"/>
      <c r="H281" s="261" t="s">
        <v>3693</v>
      </c>
      <c r="I281" t="str">
        <f t="shared" si="4"/>
        <v>"ELEMENTS_WAY-Gong du sommet":  {
 "Code" : "Gong du sommet",
 "Class" : "MONK",
 "Specialisation" : "ELEMENTS_WAY","Special" : true,
 "Description" : "(niveau 6 requis). Vous pouvez dépenser 3 points ki pour lancer le sort fracassement."
  }</v>
      </c>
    </row>
    <row r="282" spans="1:9">
      <c r="A282" s="75" t="s">
        <v>249</v>
      </c>
      <c r="B282" s="18" t="s">
        <v>2890</v>
      </c>
      <c r="C282" s="258" t="s">
        <v>3694</v>
      </c>
      <c r="D282" s="258"/>
      <c r="E282" s="258"/>
      <c r="F282" s="258"/>
      <c r="G282" s="18">
        <v>-1</v>
      </c>
      <c r="H282" s="251" t="s">
        <v>3695</v>
      </c>
      <c r="I282" t="str">
        <f t="shared" si="4"/>
        <v>"ELEMENTS_WAY-Lien élémentaire":  {
 "Code" : "Lien élémentaire",
 "Class" : "MONK",
 "Specialisation" : "ELEMENTS_WAY","UseNumber" : -1,
 "Description" : "Vous pouvez utiliser votre action pour contrôler brièvement les forces élémentaires dans un rayon de 9 mètres autour de vous, provoquant l'un des effets suivants de votre choix :  Créer un effet sensoriel inoffensif et instantané en relation avec l'air, la terre, le feu ou l'eau, comme une pluie d'étincelles, une bouffée d'air, un jet de brume éparse ou un léger frémissement de pierres. Allumer ou éteindre instantanément une bougie, une torche ou un petit feu de camp. Refroidir ou réchauffer jusqu'à 500 g de matière non-vivante pour 1 heure. Modeler le feu, la terre, l'eau ou la brume (pour un volume maximal équivalent à un cube de 30 cm d'arêtes) pour lui donner une forme grossière de votre choix pendant 1 minute."
  }</v>
      </c>
    </row>
    <row r="283" spans="1:9">
      <c r="A283" s="75" t="s">
        <v>249</v>
      </c>
      <c r="B283" s="18" t="s">
        <v>2890</v>
      </c>
      <c r="C283" s="258" t="s">
        <v>3696</v>
      </c>
      <c r="D283" s="258"/>
      <c r="E283" s="258"/>
      <c r="F283" s="258" t="s">
        <v>2807</v>
      </c>
      <c r="G283" s="18"/>
      <c r="H283" s="261" t="s">
        <v>3697</v>
      </c>
      <c r="I283" t="str">
        <f t="shared" si="4"/>
        <v>"ELEMENTS_WAY-Poigne du vent du nord":  {
 "Code" : "Poigne du vent du nord",
 "Class" : "MONK",
 "Specialisation" : "ELEMENTS_WAY","Special" : true,
 "Description" : "(niveau 6 requis). Vous pouvez dépenser 3 points ki pour lancer immobilisation de personne."
  }</v>
      </c>
    </row>
    <row r="284" spans="1:9">
      <c r="A284" s="75" t="s">
        <v>249</v>
      </c>
      <c r="B284" s="18" t="s">
        <v>2890</v>
      </c>
      <c r="C284" s="258" t="s">
        <v>3698</v>
      </c>
      <c r="D284" s="258"/>
      <c r="E284" s="258"/>
      <c r="F284" s="258"/>
      <c r="G284" s="18">
        <v>-1</v>
      </c>
      <c r="H284" s="261" t="s">
        <v>3699</v>
      </c>
      <c r="I284" t="str">
        <f t="shared" si="4"/>
        <v>"ELEMENTS_WAY-Poing de l'air":  {
 "Code" : "Poing de l'air",
 "Class" : "MONK",
 "Specialisation" : "ELEMENTS_WAY","UseNumber" : -1,
 "Description" :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
  }</v>
      </c>
    </row>
    <row r="285" spans="1:9">
      <c r="A285" s="75" t="s">
        <v>249</v>
      </c>
      <c r="B285" s="18" t="s">
        <v>2890</v>
      </c>
      <c r="C285" s="258" t="s">
        <v>3700</v>
      </c>
      <c r="D285" s="258"/>
      <c r="E285" s="258"/>
      <c r="F285" s="258" t="s">
        <v>2807</v>
      </c>
      <c r="G285" s="18"/>
      <c r="H285" s="261" t="s">
        <v>3701</v>
      </c>
      <c r="I285" t="str">
        <f t="shared" si="4"/>
        <v>"ELEMENTS_WAY-Poing des quatre tonnerres":  {
 "Code" : "Poing des quatre tonnerres",
 "Class" : "MONK",
 "Specialisation" : "ELEMENTS_WAY","Special" : true,
 "Description" : "Vous pouvez dépenser 2 points ki pour lancer le sort onde de choc."
  }</v>
      </c>
    </row>
    <row r="286" spans="1:9">
      <c r="A286" s="75" t="s">
        <v>249</v>
      </c>
      <c r="B286" s="18" t="s">
        <v>2890</v>
      </c>
      <c r="C286" s="258" t="s">
        <v>3702</v>
      </c>
      <c r="D286" s="258"/>
      <c r="E286" s="258"/>
      <c r="F286" s="258" t="s">
        <v>2807</v>
      </c>
      <c r="G286" s="18"/>
      <c r="H286" s="261" t="s">
        <v>3703</v>
      </c>
      <c r="I286" t="str">
        <f t="shared" si="4"/>
        <v>"ELEMENTS_WAY-Rivière de la flamme affamée":  {
 "Code" : "Rivière de la flamme affamée",
 "Class" : "MONK",
 "Specialisation" : "ELEMENTS_WAY","Special" : true,
 "Description" : "(niveau 17 requis). Vous pouvez dépenser 5 points ki pour lancer le sort mur de feu."
  }</v>
      </c>
    </row>
    <row r="287" spans="1:9">
      <c r="A287" s="75" t="s">
        <v>249</v>
      </c>
      <c r="B287" s="18" t="s">
        <v>2890</v>
      </c>
      <c r="C287" s="258" t="s">
        <v>3704</v>
      </c>
      <c r="D287" s="258"/>
      <c r="E287" s="258"/>
      <c r="F287" s="258" t="s">
        <v>2807</v>
      </c>
      <c r="G287" s="18"/>
      <c r="H287" s="261" t="s">
        <v>3705</v>
      </c>
      <c r="I287" t="str">
        <f t="shared" si="4"/>
        <v>"ELEMENTS_WAY-Ruée des esprits du vent":  {
 "Code" : "Ruée des esprits du vent",
 "Class" : "MONK",
 "Specialisation" : "ELEMENTS_WAY","Special" : true,
 "Description" : "Vous pouvez dépenser 2 points ki pour lancer le sort bourrasque."
  }</v>
      </c>
    </row>
    <row r="288" spans="1:9">
      <c r="A288" s="75" t="s">
        <v>249</v>
      </c>
      <c r="B288" s="18" t="s">
        <v>2890</v>
      </c>
      <c r="C288" s="258" t="s">
        <v>3706</v>
      </c>
      <c r="D288" s="258"/>
      <c r="E288" s="258"/>
      <c r="F288" s="258" t="s">
        <v>2807</v>
      </c>
      <c r="G288" s="18"/>
      <c r="H288" s="261" t="s">
        <v>3707</v>
      </c>
      <c r="I288" t="str">
        <f t="shared" si="4"/>
        <v>"ELEMENTS_WAY-Souffle de l'hiver":  {
 "Code" : "Souffle de l'hiver",
 "Class" : "MONK",
 "Specialisation" : "ELEMENTS_WAY","Special" : true,
 "Description" : "(niveau 17 requis). Vous pouvez dépenser 6 points ki pour lancer cône de froid."
  }</v>
      </c>
    </row>
    <row r="289" spans="1:9">
      <c r="A289" s="179" t="s">
        <v>249</v>
      </c>
      <c r="B289" s="52" t="s">
        <v>2890</v>
      </c>
      <c r="C289" s="262" t="s">
        <v>3708</v>
      </c>
      <c r="D289" s="262"/>
      <c r="E289" s="262"/>
      <c r="F289" s="262" t="s">
        <v>2807</v>
      </c>
      <c r="G289" s="52"/>
      <c r="H289" s="263" t="s">
        <v>3709</v>
      </c>
      <c r="I289" t="str">
        <f t="shared" si="4"/>
        <v>"ELEMENTS_WAY-Vague de terre grondante":  {
 "Code" : "Vague de terre grondante",
 "Class" : "MONK",
 "Specialisation" : "ELEMENTS_WAY","Special" : true,
 "Description" : "(niveau 17 requis). Vous pouvez dépenser 6 points ki pour lancer le sort mur de pierre."
  }</v>
      </c>
    </row>
    <row r="290" spans="1:9">
      <c r="A290" s="75" t="s">
        <v>6095</v>
      </c>
      <c r="B290" s="18"/>
      <c r="C290" s="258" t="s">
        <v>6131</v>
      </c>
      <c r="D290" s="258" t="s">
        <v>2807</v>
      </c>
      <c r="E290" s="258"/>
      <c r="F290" s="258"/>
      <c r="G290" s="18"/>
      <c r="H290" s="261" t="s">
        <v>6132</v>
      </c>
      <c r="I290" t="str">
        <f t="shared" si="4"/>
        <v>"MYSTICAL-Talents psioniques":  {
 "Code" : "Talents psioniques",
 "Class" : "MYSTICAL",
 "Specialisation" : "","Stats" : true,
 "Description" : "Un talent psionique est un effet psionique mineur que vous avez dominé. Au niveau 1, vous ne connaissez qu'un seul talent psionique de votre choix. Vous en apprendrez davantage en gagnant des niveaux de personnage, comme indiqué dans la colonne Talents connus dans la table ci-dessus."
  }</v>
      </c>
    </row>
    <row r="291" spans="1:9">
      <c r="A291" s="75" t="s">
        <v>6095</v>
      </c>
      <c r="B291" s="18"/>
      <c r="C291" s="258" t="s">
        <v>6133</v>
      </c>
      <c r="D291" s="258" t="s">
        <v>2807</v>
      </c>
      <c r="E291" s="258"/>
      <c r="F291" s="258"/>
      <c r="G291" s="18"/>
      <c r="H291" s="261" t="s">
        <v>6134</v>
      </c>
      <c r="I291" t="str">
        <f t="shared" si="4"/>
        <v>"MYSTICAL-Disciplines psioniques":  {
 "Code" : "Disciplines psioniques",
 "Class" : "MYSTICAL",
 "Specialisation" : "","Stats" : true,
 "Description" : "Une discipline psionique est un ensemble rigide d’exercices mentaux qui permettent au mystique de manifester ses pouvoirs psioniques. Un mystique ne domine que quelques disciplines à la fois.  Au niveau 1, vous ne connaissez qu'une seule discipline de votre choix. Vous en apprendrez davantage en gagnant des niveaux de personnage, comme indiqué dans la colonne Disciplines connues dans la table ci-dessus. De plus, lorsque vous gagnez un niveau dans cette classe, vous pouvez remplacer une discipline que vous connaissez par une autre de votre choix."
  }</v>
      </c>
    </row>
    <row r="292" spans="1:9">
      <c r="A292" s="75" t="s">
        <v>6095</v>
      </c>
      <c r="B292" s="18"/>
      <c r="C292" s="258" t="s">
        <v>6135</v>
      </c>
      <c r="D292" s="258" t="s">
        <v>2807</v>
      </c>
      <c r="E292" s="258" t="s">
        <v>2807</v>
      </c>
      <c r="F292" s="258"/>
      <c r="G292" s="18"/>
      <c r="H292" s="261" t="s">
        <v>6136</v>
      </c>
      <c r="I292" t="str">
        <f t="shared" si="4"/>
        <v>"MYSTICAL-Points psi":  {
 "Code" : "Points psi",
 "Class" : "MYSTICAL",
 "Specialisation" : "","Stats" : true,"Auto" : true,
 "Description" : "Vous possédez une réserve interne d'énergie qui peut être dévouée aux disciplines psioniques que vous connaissez. Cette énergie est représentée par les points psi. Chaque discipline décrit des effets que vous pouvez créer en dépensant le montant de points psi approprié. Les talents psioniques ne requièrent pas de points psi.  Le nombre de points psi que vous possédez dépend de votre niveau de mystique, comme indiqué dans la colonne Points psi dans la table ci-dessus. Le nombre indique votre maximum de points psi selon votre niveau. Votre total de points psi retrouve sa valeur maximum lorsque vous terminez un repos long. Vous ne pouvez pas avoir moins de 0 point psi ou plus que votre maximum."
  }</v>
      </c>
    </row>
    <row r="293" spans="1:9">
      <c r="A293" s="75" t="s">
        <v>6095</v>
      </c>
      <c r="B293" s="18"/>
      <c r="C293" s="258" t="s">
        <v>6137</v>
      </c>
      <c r="D293" s="258"/>
      <c r="E293" s="258"/>
      <c r="F293" s="258"/>
      <c r="G293" s="18">
        <v>-1</v>
      </c>
      <c r="H293" s="261" t="s">
        <v>6138</v>
      </c>
      <c r="I293" t="str">
        <f t="shared" si="4"/>
        <v>"MYSTICAL-Limite psi":  {
 "Code" : "Limite psi",
 "Class" : "MYSTICAL",
 "Specialisation" : "","UseNumber" : -1,
 "Description" : "Bien que vous ayez accès à une puissante quantité d'énergie psionique, il faut de l'entrainement et de la pratique pour canaliser cette énergie. Il y a une limite au nombre de points psi que vous pouvez dépenser pour activer une discipline psionique, en fonction de votre niveau de mystique, comme indiqué dans la colonne Limite psi de la table ci-dessus. Par exemple, un mystique de niveau 3 ne peut pas dépenser plus de 3 psi points sur une discipline chaque fois qu'il l'utilise, peu importe le nombre psi qu'il possède."
  }</v>
      </c>
    </row>
    <row r="294" spans="1:9">
      <c r="A294" s="75" t="s">
        <v>6095</v>
      </c>
      <c r="B294" s="18"/>
      <c r="C294" s="258" t="s">
        <v>6139</v>
      </c>
      <c r="D294" s="258"/>
      <c r="E294" s="258"/>
      <c r="F294" s="258"/>
      <c r="G294" s="55">
        <v>-1</v>
      </c>
      <c r="H294" s="261" t="s">
        <v>6140</v>
      </c>
      <c r="I294" t="str">
        <f t="shared" si="4"/>
        <v>"MYSTICAL-Focaliseur psychique":  {
 "Code" : "Focaliseur psychique",
 "Class" : "MYSTICAL",
 "Specialisation" : "","UseNumber" : -1,
 "Description" : "Vous pouvez vous focaliser sur l'énergie psychique de l'une de vos disciplines psioniques pour en tirer des bénéfices. Par une action bonus, vous pouvez choisir une de vos disciplines et en gagner le bonus de focaliseur psychique qui est détaillé dans sa description. Le bonus dure tant que vous n'êtes pas incapable d'agir et que vous n'utilisez pas votre action bonus pour choisir un autre bonus de focaliseur psychique. Vous ne pouvez bénéficier que d'un seul bonus de focaliseur psychique à la fois, et utiliser le focaliseur psychique d'une discipline ne limite pas votre capacité à utiliser d'autres disciplines."
  }</v>
      </c>
    </row>
    <row r="295" spans="1:9">
      <c r="A295" s="75" t="s">
        <v>6095</v>
      </c>
      <c r="B295" s="18"/>
      <c r="C295" s="258" t="s">
        <v>6141</v>
      </c>
      <c r="D295" s="258"/>
      <c r="E295" s="258"/>
      <c r="F295" s="258"/>
      <c r="G295" s="55">
        <v>-1</v>
      </c>
      <c r="H295" s="261" t="s">
        <v>6142</v>
      </c>
      <c r="I295" t="str">
        <f t="shared" si="4"/>
        <v>"MYSTICAL-Caractéristique psionique":  {
 "Code" : "Caractéristique psionique",
 "Class" : "MYSTICAL",
 "Specialisation" : "","UseNumber" : -1,
 "Description" : "L'Intelligence est la caractéristique psionique utilisée pour les disciplines psioniques. Vous utilisez votre modificateur d'Intelligence pour calculer le DD des jets de sauvegarde pour vos effets psioniques ou pour les jets d'attaque qu'ils impliquent.  DD de sauvegarde d'une discipline = 8 + votre bonus de maîtrise + votre modificateur d'Intelligence. Modificateur à l'attaque d'une discipline = votre bonus de maîtrise + votre modificateur d'Intelligence."
  }</v>
      </c>
    </row>
    <row r="296" spans="1:9">
      <c r="A296" s="75" t="s">
        <v>6095</v>
      </c>
      <c r="B296" s="18"/>
      <c r="C296" s="258" t="s">
        <v>6098</v>
      </c>
      <c r="D296" s="258" t="s">
        <v>2807</v>
      </c>
      <c r="E296" s="258"/>
      <c r="F296" s="258"/>
      <c r="G296" s="18"/>
      <c r="H296" s="261" t="s">
        <v>6143</v>
      </c>
      <c r="I296" t="str">
        <f t="shared" si="4"/>
        <v>"MYSTICAL-Ordre mystique":  {
 "Code" : "Ordre mystique",
 "Class" : "MYSTICAL",
 "Specialisation" : "","Stats" : true,
 "Description" : "Au niveau 1, vous choisissez un ordre mystique parmi ceux détaillés à la fin de la description de cette classe. Chaque ordre est spécialisé dans une approche particulière des pouvoirs psioniques. Votre ordre vous donne des capacités quand vous le choisissez au niveau 1, puis d'autres supplémentaires aux niveaux 3, 6 et 14."
  }</v>
      </c>
    </row>
    <row r="297" spans="1:9">
      <c r="A297" s="75" t="s">
        <v>6095</v>
      </c>
      <c r="B297" s="18"/>
      <c r="C297" s="258" t="s">
        <v>6144</v>
      </c>
      <c r="D297" s="258"/>
      <c r="E297" s="258"/>
      <c r="F297" s="258"/>
      <c r="G297" s="55">
        <v>-1</v>
      </c>
      <c r="H297" s="261" t="s">
        <v>6145</v>
      </c>
      <c r="I297" t="str">
        <f t="shared" si="4"/>
        <v>"MYSTICAL-Récupération mystique":  {
 "Code" : "Récupération mystique",
 "Class" : "MYSTICAL",
 "Specialisation" : "","UseNumber" : -1,
 "Description" : "À partir du niveau 2, vous tirez une vigueur particulière de l'énergie psi de vos disciplines psioniques. Lorsque vous dépensez des points psi dans une discipline psionique, vous pouvez immédiatement après prendre une action bonus pour regagner un nombre de points de vie égal au nombre de points psi dépensés."
  }</v>
      </c>
    </row>
    <row r="298" spans="1:9">
      <c r="A298" s="75" t="s">
        <v>6095</v>
      </c>
      <c r="B298" s="18"/>
      <c r="C298" s="258" t="s">
        <v>2430</v>
      </c>
      <c r="D298" s="258"/>
      <c r="E298" s="258"/>
      <c r="F298" s="258"/>
      <c r="G298" s="55">
        <v>-1</v>
      </c>
      <c r="H298" s="261" t="s">
        <v>6146</v>
      </c>
      <c r="I298" t="str">
        <f t="shared" si="4"/>
        <v>"MYSTICAL-Télépathie":  {
 "Code" : "Télépathie",
 "Class" : "MYSTICAL",
 "Specialisation" : "","UseNumber" : -1,
 "Description" : "Au niveau 2, votre esprit obtient la capacité de communiquer par télépathie. Vous pouvez parler télépathiquement à n'importe quelle créature que vous pouvez voir à 36 mètres ou moins de vous. Vous n'avez pas besoin d'avoir une langue en commune avec la créature pour qu'elle comprenne vos messages télépathiques, mais la créature doit pouvoir comprendre au moins une langue ou être télépathique."
  }</v>
      </c>
    </row>
    <row r="299" spans="1:9">
      <c r="A299" s="75" t="s">
        <v>6095</v>
      </c>
      <c r="B299" s="18"/>
      <c r="C299" s="258" t="s">
        <v>167</v>
      </c>
      <c r="D299" s="258" t="s">
        <v>2807</v>
      </c>
      <c r="E299" s="258"/>
      <c r="F299" s="258"/>
      <c r="G299" s="18"/>
      <c r="H299" s="261" t="s">
        <v>6147</v>
      </c>
      <c r="I299" t="str">
        <f t="shared" si="4"/>
        <v>"MYSTICAL-Amélioration de caractéristiques":  {
 "Code" : "Amélioration de caractéristiques",
 "Class" : "MYSTICAL",
 "Specialisation" : "","Stats" : true,
 "Description" : "Au niveau 4, puis par la suite au niveau 8, 12, 16 et 19, vous pouvez augmenter une valeur de caractéristique de votre choix de +2, ou bien augmenter deux valeurs de caractéristique de votre choix de +1. Vous ne pouvez cependant pas augmenter une caractéristique au-delà de 20 par ce biais."
  }</v>
      </c>
    </row>
    <row r="300" spans="1:9">
      <c r="A300" s="75" t="s">
        <v>6095</v>
      </c>
      <c r="B300" s="18"/>
      <c r="C300" s="258" t="s">
        <v>6148</v>
      </c>
      <c r="D300" s="258"/>
      <c r="E300" s="258"/>
      <c r="F300" s="258"/>
      <c r="G300" s="55">
        <v>1</v>
      </c>
      <c r="H300" s="261" t="s">
        <v>6149</v>
      </c>
      <c r="I300" t="str">
        <f t="shared" si="4"/>
        <v>"MYSTICAL-Force de l'esprit":  {
 "Code" : "Force de l'esprit",
 "Class" : "MYSTICAL",
 "Specialisation" : "","UseNumber" : 1,
 "Description" : "Même la plus basique des techniques psioniques requiert une profonde compréhension de la manière dont l'énergie psionique altère le corps et l'esprit. Ce savoir vous permet de modifier vos défenses pour mieux contrer les menaces auxquelles vous êtes confronté. À partir du niveau 4, vous pouvez changer votre maîtrise des jets de sauvegarde de Sagesse chaque fois que vous terminez un repos court ou long. Pour cela, choisissez la Force, la Dextérité, la Constitution ou le Charisme. Vous gagnez la maîtrise des jets de sauvegarde basés sur cette caractéristique à la place de ceux liés à la Sagesse. Ce changement dure jusqu'à ce que vous finissiez un repos court ou long."
  }</v>
      </c>
    </row>
    <row r="301" spans="1:9">
      <c r="A301" s="75" t="s">
        <v>6095</v>
      </c>
      <c r="B301" s="18"/>
      <c r="C301" s="258" t="s">
        <v>6150</v>
      </c>
      <c r="D301" s="258"/>
      <c r="E301" s="258"/>
      <c r="F301" s="258"/>
      <c r="G301" s="55">
        <v>1</v>
      </c>
      <c r="H301" s="261" t="s">
        <v>6151</v>
      </c>
      <c r="I301" t="str">
        <f t="shared" si="4"/>
        <v>"MYSTICAL-Psionique puissant":  {
 "Code" : "Psionique puissant",
 "Class" : "MYSTICAL",
 "Specialisation" : "","UseNumber" : 1,
 "Description" : "Au niveau 8, vous gagnez la capacité d'imprégner vos attaques avec une arme d'énergie psychique. Une fois lors de chacun de vos tours lorsque vous touchez une créature avec une arme, vous pouvez infliger 1d8 de dégâts psychiques supplémentaires à cette cible. Lorsque vous atteignez le niveau 14, les dommages supplémentaires passent à 2d8.  En outre, vous ajoutez votre modificateur d'Intelligence à tous les jets de dégâts qui découlent d'un talent psionique."
  }</v>
      </c>
    </row>
    <row r="302" spans="1:9">
      <c r="A302" s="75" t="s">
        <v>6095</v>
      </c>
      <c r="B302" s="18"/>
      <c r="C302" s="258" t="s">
        <v>6152</v>
      </c>
      <c r="D302" s="258"/>
      <c r="E302" s="258"/>
      <c r="F302" s="258"/>
      <c r="G302" s="55">
        <v>1</v>
      </c>
      <c r="H302" s="261" t="s">
        <v>6153</v>
      </c>
      <c r="I302" t="str">
        <f t="shared" si="4"/>
        <v>"MYSTICAL-Pouvoir dévorant":  {
 "Code" : "Pouvoir dévorant",
 "Class" : "MYSTICAL",
 "Specialisation" : "","UseNumber" : 1,
 "Description" : "Au niveau 10, vous gagnez la faculté de sacrifier votre force vitale en échange de pouvoirs psychiques. Lorsque vous activez une discipline psionique, vous pouvez payer le coût en points psi avec vos points de vie, au lieu d'utiliser des points psi. Vos points de vie actuels et vos points de vie maximums sont tous les deux réduits du nombre de points de vie que vous dépensez. Cette réduction ne peut être éliminée d'aucune façon, et la réduction de vos points de vie maximums dure jusqu'à ce que vous terminiez un repos long. Une fois que vous avez utilisé cette capacité, vous ne pouvez plus l'utiliser à nouveau jusqu'à ce que vous ayez terminé un repos long."
  }</v>
      </c>
    </row>
    <row r="303" spans="1:9">
      <c r="A303" s="75" t="s">
        <v>6095</v>
      </c>
      <c r="B303" s="18"/>
      <c r="C303" s="258" t="s">
        <v>6154</v>
      </c>
      <c r="D303" s="258"/>
      <c r="E303" s="258"/>
      <c r="F303" s="258"/>
      <c r="G303" s="55">
        <v>1</v>
      </c>
      <c r="H303" s="261" t="s">
        <v>6155</v>
      </c>
      <c r="I303" t="str">
        <f t="shared" si="4"/>
        <v>"MYSTICAL-Maîtrise psionique":  {
 "Code" : "Maîtrise psionique",
 "Class" : "MYSTICAL",
 "Specialisation" : "","UseNumber" : 1,
 "Description" : "À partir du niveau 11, votre maîtrise de l'énergie psionique vous permet de pousser votre esprit au-delà de ses limites. Par une action, vous gagnez 9 points psi spéciaux que vous ne pouvez consacrer qu'aux disciplines qui nécessitent une action ou une action bonus. Vous pouvez utiliser la totalité des 9 points pour une seule discipline, ou les répartir dans plusieurs disciplines. Vous ne pouvez pas dépenser en même temps ces points psi et vos points psi normaux sur la même discipline ; vous ne pouvez dépenser que les points spéciaux obtenus grâce à cette capacité. Lorsque vous terminez un repos long, vous perdez tous les points spéciaux que vous n'avez pas dépensés.  Si plus d'une des disciplines que vous activez avec ces points nécessitent une concentration, vous pouvez vous concentrer sur chacune d'elles. L'activation de l'une d'entre elles met fin à tout effet sur lequel vous étiez déjà concentré, et si vous commencez à vous concentrer sur un effet qui n'utilise pas ces points spéciaux, les disciplines sur lesquelles vous étiez concentré se terminent.  Au niveau 15, le nombre de points psi que vous gagnez avec cette capacité passe à 11. Vous ne pouvez utiliser cette capacité qu'une seule fois, et vous retrouvez son utilisation après un repos long. Vous gagnez une utilisation supplémentaire de cette capacité aux niveaux 13, 15 et 17."
  }</v>
      </c>
    </row>
    <row r="304" spans="1:9">
      <c r="A304" s="360" t="s">
        <v>6095</v>
      </c>
      <c r="B304" s="354"/>
      <c r="C304" s="394" t="s">
        <v>6156</v>
      </c>
      <c r="D304" s="394"/>
      <c r="E304" s="394"/>
      <c r="F304" s="394"/>
      <c r="G304" s="354">
        <v>-1</v>
      </c>
      <c r="H304" s="395" t="s">
        <v>6157</v>
      </c>
      <c r="I304" t="str">
        <f t="shared" si="4"/>
        <v>"MYSTICAL-Corps psionique":  {
 "Code" : "Corps psionique",
 "Class" : "MYSTICAL",
 "Specialisation" : "","UseNumber" : -1,
 "Description" : "Au niveau 20, votre maîtrise des pouvoirs psioniques fait que votre esprit transcende le corps. Votre forme physique est imprégnée d'énergie psionique. Vous obtenez les avantages suivants :  Vous gagnez la résistance contre les dégâts contondants, perforants et tranchants. Vous ne vieillissez plus. Vous êtes immunisé contre la maladie, les dégâts de type poison et la condition empoisonné. Si vous mourez, lancez un d20. Pour un résultat de 10 ou plus, vous vous dématérialisez avec 0 point de vie, au lieu de mourir, et tombez inconscient. Vous disparaissez avec tout votre équipement avant de réapparaître 1d3 jours plus tard à un endroit de votre choix sur le plan d'existence où vous êtes mort, en ayant gagné les avantages d'un repos long."
  }</v>
      </c>
    </row>
    <row r="305" spans="1:9">
      <c r="A305" s="75" t="s">
        <v>6095</v>
      </c>
      <c r="B305" s="18" t="s">
        <v>6112</v>
      </c>
      <c r="C305" s="258" t="s">
        <v>6158</v>
      </c>
      <c r="D305" s="258" t="s">
        <v>2807</v>
      </c>
      <c r="E305" s="258"/>
      <c r="F305" s="258"/>
      <c r="G305" s="18"/>
      <c r="H305" s="261" t="s">
        <v>6159</v>
      </c>
      <c r="I305" t="str">
        <f t="shared" si="4"/>
        <v>"AVATAR_ORDER-Disciplines supplémentaires":  {
 "Code" : "Disciplines supplémentaires",
 "Class" : "MYSTICAL",
 "Specialisation" : "AVATAR_ORDER","Stats" : true,
 "Description" : "Au niveau 1, vous gagnez deux disciplines psioniques supplémentaires à choisir parmi les disciplines des Avatars."
  }</v>
      </c>
    </row>
    <row r="306" spans="1:9">
      <c r="A306" s="75" t="s">
        <v>6095</v>
      </c>
      <c r="B306" s="18" t="s">
        <v>6112</v>
      </c>
      <c r="C306" s="258" t="s">
        <v>6160</v>
      </c>
      <c r="D306" s="258" t="s">
        <v>2807</v>
      </c>
      <c r="E306" s="258"/>
      <c r="F306" s="258"/>
      <c r="G306" s="18"/>
      <c r="H306" s="261" t="s">
        <v>6161</v>
      </c>
      <c r="I306" t="str">
        <f t="shared" si="4"/>
        <v>"AVATAR_ORDER-Entrainement aux armures":  {
 "Code" : "Entrainement aux armures",
 "Class" : "MYSTICAL",
 "Specialisation" : "AVATAR_ORDER","Stats" : true,
 "Description" : "Au niveau 1, vous gagnez la maîtrise des armures intermédiaires et des boucliers."
  }</v>
      </c>
    </row>
    <row r="307" spans="1:9">
      <c r="A307" s="75" t="s">
        <v>6095</v>
      </c>
      <c r="B307" s="18" t="s">
        <v>6112</v>
      </c>
      <c r="C307" s="258" t="s">
        <v>3379</v>
      </c>
      <c r="D307" s="258"/>
      <c r="E307" s="258"/>
      <c r="F307" s="258"/>
      <c r="G307" s="55">
        <v>-1</v>
      </c>
      <c r="H307" s="261" t="s">
        <v>6162</v>
      </c>
      <c r="I307" t="str">
        <f t="shared" si="4"/>
        <v>"AVATAR_ORDER-Avatar de bataille":  {
 "Code" : "Avatar de bataille",
 "Class" : "MYSTICAL",
 "Specialisation" : "AVATAR_ORDER","UseNumber" : -1,
 "Description" : "À partir du niveau 3, vous projetez une aura inspirante. Si vous n'êtes pas incapable d'agir, chaque allié à 9 mètres ou moins de vous qui peut vous voir gagne un bonus de +2 aux jets d'initiatives."
  }</v>
      </c>
    </row>
    <row r="308" spans="1:9">
      <c r="A308" s="75" t="s">
        <v>6095</v>
      </c>
      <c r="B308" s="18" t="s">
        <v>6112</v>
      </c>
      <c r="C308" s="258" t="s">
        <v>6163</v>
      </c>
      <c r="D308" s="258"/>
      <c r="E308" s="258"/>
      <c r="F308" s="258"/>
      <c r="G308" s="55">
        <v>-1</v>
      </c>
      <c r="H308" s="261" t="s">
        <v>6164</v>
      </c>
      <c r="I308" t="str">
        <f t="shared" si="4"/>
        <v>"AVATAR_ORDER-Avatar de soins":  {
 "Code" : "Avatar de soins",
 "Class" : "MYSTICAL",
 "Specialisation" : "AVATAR_ORDER","UseNumber" : -1,
 "Description" : "À partir du niveau 6, vous projetez une aura de résilience. Si vous n'êtes pas incapable d'agir, chaque allié à 9 mètres ou moins de vous qui peut vous voir regagne un nombre de points de vie additionnels égal à votre modificateur d'Intelligence (minimum 0) chaque fois qu'ils récupèrent des points de vie grâce à une discipline psionique."
  }</v>
      </c>
    </row>
    <row r="309" spans="1:9">
      <c r="A309" s="360" t="s">
        <v>6095</v>
      </c>
      <c r="B309" s="354" t="s">
        <v>6112</v>
      </c>
      <c r="C309" s="394" t="s">
        <v>6165</v>
      </c>
      <c r="D309" s="394"/>
      <c r="E309" s="394"/>
      <c r="F309" s="394"/>
      <c r="G309" s="354">
        <v>-1</v>
      </c>
      <c r="H309" s="395" t="s">
        <v>6166</v>
      </c>
      <c r="I309" t="str">
        <f t="shared" si="4"/>
        <v>"AVATAR_ORDER-Avatar de vitesse":  {
 "Code" : "Avatar de vitesse",
 "Class" : "MYSTICAL",
 "Specialisation" : "AVATAR_ORDER","UseNumber" : -1,
 "Description" : "À partir du niveau 14, vous projetez une aura de vitesse. Si vous n'êtes pas incapable d'agir, chaque allié à 9 mètres ou moins de vous qui peut vous voir peut prendre l'action Foncer en tant qu'action bonus."
  }</v>
      </c>
    </row>
    <row r="310" spans="1:9">
      <c r="A310" s="75" t="s">
        <v>6095</v>
      </c>
      <c r="B310" s="18" t="s">
        <v>6115</v>
      </c>
      <c r="C310" s="258" t="s">
        <v>6158</v>
      </c>
      <c r="D310" s="258" t="s">
        <v>2807</v>
      </c>
      <c r="E310" s="258"/>
      <c r="F310" s="258"/>
      <c r="G310" s="18"/>
      <c r="H310" s="261" t="s">
        <v>6167</v>
      </c>
      <c r="I310" t="str">
        <f t="shared" si="4"/>
        <v>"AWAKENED_ORDER-Disciplines supplémentaires":  {
 "Code" : "Disciplines supplémentaires",
 "Class" : "MYSTICAL",
 "Specialisation" : "AWAKENED_ORDER","Stats" : true,
 "Description" : "Au niveau 1, vous gagnez deux disciplines psioniques supplémentaires à choisir parmi les disciplines des Éveillés."
  }</v>
      </c>
    </row>
    <row r="311" spans="1:9">
      <c r="A311" s="75" t="s">
        <v>6095</v>
      </c>
      <c r="B311" s="18" t="s">
        <v>6115</v>
      </c>
      <c r="C311" s="258" t="s">
        <v>6168</v>
      </c>
      <c r="D311" s="258" t="s">
        <v>2807</v>
      </c>
      <c r="E311" s="258"/>
      <c r="F311" s="258"/>
      <c r="G311" s="18"/>
      <c r="H311" s="261" t="s">
        <v>6169</v>
      </c>
      <c r="I311" t="str">
        <f t="shared" si="4"/>
        <v>"AWAKENED_ORDER-Talent des éveillés":  {
 "Code" : "Talent des éveillés",
 "Class" : "MYSTICAL",
 "Specialisation" : "AWAKENED_ORDER","Stats" : true,
 "Description" : "Au niveau 1, vous gagnez la maîtrise de deux compétences supplémentaires de votre choix parmi Dressage, Tromperie, Perspicacité, Intimidation, Investigation, Perception et Persuasion."
  }</v>
      </c>
    </row>
    <row r="312" spans="1:9">
      <c r="A312" s="75" t="s">
        <v>6095</v>
      </c>
      <c r="B312" s="18" t="s">
        <v>6115</v>
      </c>
      <c r="C312" s="258" t="s">
        <v>6170</v>
      </c>
      <c r="D312" s="258"/>
      <c r="E312" s="258"/>
      <c r="F312" s="258"/>
      <c r="G312" s="55">
        <v>1</v>
      </c>
      <c r="H312" s="261" t="s">
        <v>6171</v>
      </c>
      <c r="I312" t="str">
        <f t="shared" si="4"/>
        <v>"AWAKENED_ORDER-Investigation psionique":  {
 "Code" : "Investigation psionique",
 "Class" : "MYSTICAL",
 "Specialisation" : "AWAKENED_ORDER","UseNumber" : 1,
 "Description" : "Au niveau 3, vous pouvez concentrer votre esprit pour lire l'empreinte psionique laissée sur un objet. Si vous tenez un objet et que vous vous concentrez sur celui-ci pendant 10 minutes (comme si vous vous concentriez sur une discipline psionique), vous apprenez quelques faits simples à son sujet. Vous obtenez une image mentale du point de vue de l'objet, montrant la dernière créature qui l'a tenu durant les dernières 24 heures. Vous apprenez également tous les événements qui ont eu lieu dans un rayon de 6 mètres autour de l'objet durant la dernière heure. Vous percevez ces événements du point de vue de l'objet. Vous les voyez et les entendez comme si vous y étiez, mais ne pouvez pas utiliser d'autres sens. De plus, vous pouvez dissimuler un senseur psionique intangible dans l'objet. Pour les prochaines 24 heures, vous pouvez utiliser une action pour déterminer l'emplacement de l'objet par rapport à vous (distance et direction) et regarder l'environnement de l'objet de son point de vue comme si vous y étiez. Cette perception dure jusqu'au début de votre prochain tour. Une fois que vous avez utilisé cette capacité, vous ne pouvez plus l'utiliser de nouveau jusqu'à ce que vous finissiez un repos court ou long."
  }</v>
      </c>
    </row>
    <row r="313" spans="1:9">
      <c r="A313" s="75" t="s">
        <v>6095</v>
      </c>
      <c r="B313" s="18" t="s">
        <v>6115</v>
      </c>
      <c r="C313" s="258" t="s">
        <v>6172</v>
      </c>
      <c r="D313" s="258"/>
      <c r="E313" s="258"/>
      <c r="F313" s="258"/>
      <c r="G313" s="55">
        <v>1</v>
      </c>
      <c r="H313" s="261" t="s">
        <v>6173</v>
      </c>
      <c r="I313" t="str">
        <f t="shared" si="4"/>
        <v>"AWAKENED_ORDER-Déferlement psychique":  {
 "Code" : "Déferlement psychique",
 "Class" : "MYSTICAL",
 "Specialisation" : "AWAKENED_ORDER","UseNumber" : 1,
 "Description" : "À partir du niveau 6, vous pouvez surcharger votre concentration psychique pour abattre les défenses de vos adversaires. Vous pouvez imposer un désavantage à un jet de sauvegarde de votre cible contre un talent ou une discipline que vous utilisez au prix de votre concentration psychique. Votre concentration psychique se termine immédiatement si elle était active et vous ne pouvez plus l'utiliser à nouveau avant d'avoir terminé un repos court ou long. Vous ne pouvez pas utiliser cette capacité si vous ne pouvez pas utiliser votre concentration psychique."
  }</v>
      </c>
    </row>
    <row r="314" spans="1:9">
      <c r="A314" s="360" t="s">
        <v>6095</v>
      </c>
      <c r="B314" s="354" t="s">
        <v>6115</v>
      </c>
      <c r="C314" s="394" t="s">
        <v>6174</v>
      </c>
      <c r="D314" s="394"/>
      <c r="E314" s="394"/>
      <c r="F314" s="394"/>
      <c r="G314" s="354">
        <v>1</v>
      </c>
      <c r="H314" s="395" t="s">
        <v>6175</v>
      </c>
      <c r="I314" t="str">
        <f t="shared" si="4"/>
        <v>"AWAKENED_ORDER-Forme spectrale":  {
 "Code" : "Forme spectrale",
 "Class" : "MYSTICAL",
 "Specialisation" : "AWAKENED_ORDER","UseNumber" : 1,
 "Description" : "Au niveau 14, vous gagnez la capacité de vous transformer en un être fantomatique fait d'énergie psionique. Par une action, vous pouvez vous transformer en une version transparente et fantomatique de vous-même. Sous cette forme, vous obtenez la résistance à tous les dommages, vous vous déplacez à la moitié de votre vitesse, et pouvez passer à travers les objets et les créatures, sans toutefois pouvoir mettre fin volontairement à votre mouvement dans leur espace. La forme dure 10 minutes ou jusqu'à ce que vous utilisiez une action pour y mettre fin. Une fois que vous avez utilisé cette capacité, vous ne pouvez plus l'utiliser à nouveau jusqu'à ce que vous ayez terminé un repos long."
  }</v>
      </c>
    </row>
    <row r="315" spans="1:9">
      <c r="A315" s="75" t="s">
        <v>6095</v>
      </c>
      <c r="B315" s="18" t="s">
        <v>6117</v>
      </c>
      <c r="C315" s="258" t="s">
        <v>6158</v>
      </c>
      <c r="D315" s="258" t="s">
        <v>2807</v>
      </c>
      <c r="E315" s="258"/>
      <c r="F315" s="258"/>
      <c r="G315" s="18"/>
      <c r="H315" s="261" t="s">
        <v>6176</v>
      </c>
      <c r="I315" t="str">
        <f t="shared" si="4"/>
        <v>"IMMORTALS_ORDER-Disciplines supplémentaires":  {
 "Code" : "Disciplines supplémentaires",
 "Class" : "MYSTICAL",
 "Specialisation" : "IMMORTALS_ORDER","Stats" : true,
 "Description" : "Au niveau 1, vous gagnez deux disciplines psioniques supplémentaires à choisir parmi les disciplines des Immortels."
  }</v>
      </c>
    </row>
    <row r="316" spans="1:9">
      <c r="A316" s="75" t="s">
        <v>6095</v>
      </c>
      <c r="B316" s="18" t="s">
        <v>6117</v>
      </c>
      <c r="C316" s="258" t="s">
        <v>6177</v>
      </c>
      <c r="D316" s="258" t="s">
        <v>2807</v>
      </c>
      <c r="E316" s="258"/>
      <c r="F316" s="258"/>
      <c r="G316" s="18"/>
      <c r="H316" s="261" t="s">
        <v>6178</v>
      </c>
      <c r="I316" t="str">
        <f t="shared" si="4"/>
        <v>"IMMORTALS_ORDER-Résistance de l'Immortel":  {
 "Code" : "Résistance de l'Immortel",
 "Class" : "MYSTICAL",
 "Specialisation" : "IMMORTALS_ORDER","Stats" : true,
 "Description" : "À partir du niveau 1, votre nombre de points de vie maximums augmente de 1 par niveau de mystique. De plus, lorsque vous ne portez ni armure ni bouclier, votre CA de base devient 10 + votre modificateur de Dextérité + votre modificateur de Constitution."
  }</v>
      </c>
    </row>
    <row r="317" spans="1:9">
      <c r="A317" s="75" t="s">
        <v>6095</v>
      </c>
      <c r="B317" s="18" t="s">
        <v>6117</v>
      </c>
      <c r="C317" s="258" t="s">
        <v>6179</v>
      </c>
      <c r="D317" s="258"/>
      <c r="E317" s="258"/>
      <c r="F317" s="258"/>
      <c r="G317" s="55">
        <v>-1</v>
      </c>
      <c r="H317" s="261" t="s">
        <v>6180</v>
      </c>
      <c r="I317" t="str">
        <f t="shared" si="4"/>
        <v>"IMMORTALS_ORDER-Résilience psionique":  {
 "Code" : "Résilience psionique",
 "Class" : "MYSTICAL",
 "Specialisation" : "IMMORTALS_ORDER","UseNumber" : -1,
 "Description" : "À partir du niveau 3, votre énergie psionique vous octroie une résistance extraordinaire. Au début de chacun de vos tours, vous gagnez un nombre de points de vie temporaires égal à votre modificateur d'Intelligence (minimum 0) si vous avez au moins 1 point de vie."
  }</v>
      </c>
    </row>
    <row r="318" spans="1:9">
      <c r="A318" s="75" t="s">
        <v>6095</v>
      </c>
      <c r="B318" s="18" t="s">
        <v>6117</v>
      </c>
      <c r="C318" s="258" t="s">
        <v>6181</v>
      </c>
      <c r="D318" s="258"/>
      <c r="E318" s="258"/>
      <c r="F318" s="258"/>
      <c r="G318" s="55">
        <v>-1</v>
      </c>
      <c r="H318" s="261" t="s">
        <v>6182</v>
      </c>
      <c r="I318" t="str">
        <f t="shared" si="4"/>
        <v>"IMMORTALS_ORDER-Afflux de vie":  {
 "Code" : "Afflux de vie",
 "Class" : "MYSTICAL",
 "Specialisation" : "IMMORTALS_ORDER","UseNumber" : -1,
 "Description" : "À partir du niveau 6, vous pouvez puisez dans votre concentration psychique pour éviter la mort. Par une réaction, si vous subissez des dégâts, vous pouvez les diminuer de moitié. Votre concentration psychique se termine immédiatement si elle était active et vous ne pouvez plus l'utiliser à nouveau avant d'avoir terminé un repos court ou long. Vous ne pouvez pas utiliser cette capacité si vous ne pouvez pas utiliser votre concentration psychique."
  }</v>
      </c>
    </row>
    <row r="319" spans="1:9" ht="14.25" customHeight="1">
      <c r="A319" s="360" t="s">
        <v>6095</v>
      </c>
      <c r="B319" s="354" t="s">
        <v>6117</v>
      </c>
      <c r="C319" s="394" t="s">
        <v>6183</v>
      </c>
      <c r="D319" s="394"/>
      <c r="E319" s="394"/>
      <c r="F319" s="394" t="s">
        <v>2807</v>
      </c>
      <c r="G319" s="354"/>
      <c r="H319" s="395" t="s">
        <v>6184</v>
      </c>
      <c r="I319" t="str">
        <f t="shared" si="4"/>
        <v>"IMMORTALS_ORDER-Volonté de l'Immortel":  {
 "Code" : "Volonté de l'Immortel",
 "Class" : "MYSTICAL",
 "Specialisation" : "IMMORTALS_ORDER","Special" : true,
 "Description" : "À partir du niveau 14, vous pouvez puiser dans vos réserves de pouvoir psionique afin d'échapper à l'emprise de la mort. À la fin de votre tour, si vous avez 0 point de vie, vous pouvez dépenser 5 points psi pour récupérer instantanément un nombre de points de vie égal à votre niveau mystique + votre modificateur de Constitution."
  }</v>
      </c>
    </row>
    <row r="320" spans="1:9">
      <c r="A320" s="75" t="s">
        <v>6095</v>
      </c>
      <c r="B320" s="18" t="s">
        <v>6119</v>
      </c>
      <c r="C320" s="258" t="s">
        <v>6158</v>
      </c>
      <c r="D320" s="258" t="s">
        <v>2807</v>
      </c>
      <c r="E320" s="258"/>
      <c r="F320" s="258"/>
      <c r="G320" s="18"/>
      <c r="H320" s="261" t="s">
        <v>6185</v>
      </c>
      <c r="I320" t="str">
        <f t="shared" si="4"/>
        <v>"NOMAD_ORDER-Disciplines supplémentaires":  {
 "Code" : "Disciplines supplémentaires",
 "Class" : "MYSTICAL",
 "Specialisation" : "NOMAD_ORDER","Stats" : true,
 "Description" : "Au niveau 1, vous gagnez deux disciplines psioniques supplémentaires à choisir parmi les disciplines des Nomades."
  }</v>
      </c>
    </row>
    <row r="321" spans="1:9">
      <c r="A321" s="75" t="s">
        <v>6095</v>
      </c>
      <c r="B321" s="18" t="s">
        <v>6119</v>
      </c>
      <c r="C321" s="258" t="s">
        <v>6186</v>
      </c>
      <c r="D321" s="258"/>
      <c r="E321" s="258"/>
      <c r="F321" s="258"/>
      <c r="G321" s="18">
        <v>1</v>
      </c>
      <c r="H321" s="261" t="s">
        <v>6187</v>
      </c>
      <c r="I321" t="str">
        <f t="shared" si="4"/>
        <v>"NOMAD_ORDER-Grand savoir":  {
 "Code" : "Grand savoir",
 "Class" : "MYSTICAL",
 "Specialisation" : "NOMAD_ORDER","UseNumber" : 1,
 "Description" : "Au niveau 1, vous gagnez le pouvoir d'étendre votre savoir. Lorsque vous terminez un repos long, vous gagnez deux maîtrises de votre choix : deux outils, deux compétences ou une de chaque. Vous pouvez aussi remplacer l’une ou ces deux sélections par des langues. Cet avantage dure jusqu'à ce que vous terminiez un repos long."
  }</v>
      </c>
    </row>
    <row r="322" spans="1:9">
      <c r="A322" s="75" t="s">
        <v>6095</v>
      </c>
      <c r="B322" s="18" t="s">
        <v>6119</v>
      </c>
      <c r="C322" s="258" t="s">
        <v>6188</v>
      </c>
      <c r="D322" s="258"/>
      <c r="E322" s="258"/>
      <c r="F322" s="258"/>
      <c r="G322" s="55">
        <v>1</v>
      </c>
      <c r="H322" s="261" t="s">
        <v>6189</v>
      </c>
      <c r="I322" t="str">
        <f t="shared" si="4"/>
        <v>"NOMAD_ORDER-Mémoire des mille pas":  {
 "Code" : "Mémoire des mille pas",
 "Class" : "MYSTICAL",
 "Specialisation" : "NOMAD_ORDER","UseNumber" : 1,
 "Description" : "Au niveau 3, vous gagnez le pouvoir d’utiliser la magie psionique pour vous souvenir de votre itinéraire. En tant que réaction, lorsque vous êtes touché par une attaque, vous pouvez vous téléporter dans un espace inoccupé que vous occupiez depuis le début de votre dernier tour et l’attaque en question vous rate. Une fois que vous avez utilisé cette capacité, vous ne pouvez plus l'utiliser de nouveau jusqu'à ce que vous finissiez un repos court ou long."
  }</v>
      </c>
    </row>
    <row r="323" spans="1:9">
      <c r="A323" s="75" t="s">
        <v>6095</v>
      </c>
      <c r="B323" s="18" t="s">
        <v>6119</v>
      </c>
      <c r="C323" s="258" t="s">
        <v>6190</v>
      </c>
      <c r="D323" s="258"/>
      <c r="E323" s="258"/>
      <c r="F323" s="258"/>
      <c r="G323" s="55">
        <v>-1</v>
      </c>
      <c r="H323" s="261" t="s">
        <v>6191</v>
      </c>
      <c r="I323" t="str">
        <f t="shared" ref="I323:I386" si="5">""""&amp;IF(ISBLANK(B323),A323,B323)&amp;"-"&amp;C323&amp;""":  {
 ""Code"" : """&amp;C323&amp;""",
 ""Class"" : """&amp;A323&amp;""",
 ""Specialisation"" : """&amp;B323&amp;""","
 &amp;IF(ISBLANK(D323),"", """Stats"" : "&amp;D323&amp;",")
 &amp;IF(ISBLANK(E323),"", """Auto"" : "&amp;E323&amp;",")
 &amp;IF(ISBLANK(G323),"", """UseNumber"" : "&amp;G323&amp;",")
 &amp;IF(ISBLANK(F323),"", """Special"" : "&amp;F323&amp;",")&amp;"
 ""Description"" : """&amp;SUBSTITUTE(H323,CHAR(10)," ")&amp;"""
  }"</f>
        <v>"NOMAD_ORDER-Téléportation supérieure":  {
 "Code" : "Téléportation supérieure",
 "Class" : "MYSTICAL",
 "Specialisation" : "NOMAD_ORDER","UseNumber" : -1,
 "Description" : "Au niveau 6, vous gagnez un talent supérieur de téléportation. Quand vous utilisez une discipline psionique pour vous téléporter à n’importe quelle distance, vous pouvez augmenter cette distance de 3 mètres ou moins."
  }</v>
      </c>
    </row>
    <row r="324" spans="1:9">
      <c r="A324" s="360" t="s">
        <v>6095</v>
      </c>
      <c r="B324" s="354" t="s">
        <v>6119</v>
      </c>
      <c r="C324" s="394" t="s">
        <v>6192</v>
      </c>
      <c r="D324" s="394"/>
      <c r="E324" s="394"/>
      <c r="F324" s="394"/>
      <c r="G324" s="354">
        <v>-1</v>
      </c>
      <c r="H324" s="395" t="s">
        <v>6193</v>
      </c>
      <c r="I324" t="str">
        <f t="shared" si="5"/>
        <v>"NOMAD_ORDER-Voyage sans effort":  {
 "Code" : "Voyage sans effort",
 "Class" : "MYSTICAL",
 "Specialisation" : "NOMAD_ORDER","UseNumber" : -1,
 "Description" : "À partir du niveau 14, votre esprit peut mouvoir votre corps de façon mystique. À chacun de vos tours, vous pouvez renoncer à 9 mètres ou moins de mouvement afin de vous téléporter sur une distance égale à celle à laquelle vous avez renoncée. Pour ce faire, vous devez vous téléporter dans un espace inoccupé que vous pouvez voir."
  }</v>
      </c>
    </row>
    <row r="325" spans="1:9">
      <c r="A325" s="75" t="s">
        <v>6095</v>
      </c>
      <c r="B325" s="18" t="s">
        <v>6121</v>
      </c>
      <c r="C325" s="258" t="s">
        <v>6194</v>
      </c>
      <c r="D325" s="258" t="s">
        <v>2807</v>
      </c>
      <c r="E325" s="258"/>
      <c r="F325" s="258"/>
      <c r="G325" s="18"/>
      <c r="H325" s="261" t="s">
        <v>6195</v>
      </c>
      <c r="I325" t="str">
        <f t="shared" si="5"/>
        <v>"SHARP_SOUL_ORDER-Entrainement martial":  {
 "Code" : "Entrainement martial",
 "Class" : "MYSTICAL",
 "Specialisation" : "SHARP_SOUL_ORDER","Stats" : true,
 "Description" : "Au niveau 1, vous gagnez la maîtrise des armures intermédiaires et des armes de guerre."
  }</v>
      </c>
    </row>
    <row r="326" spans="1:9">
      <c r="A326" s="75" t="s">
        <v>6095</v>
      </c>
      <c r="B326" s="18" t="s">
        <v>6121</v>
      </c>
      <c r="C326" s="258" t="s">
        <v>6196</v>
      </c>
      <c r="D326" s="258"/>
      <c r="E326" s="258"/>
      <c r="F326" s="258"/>
      <c r="G326" s="55">
        <v>-1</v>
      </c>
      <c r="H326" s="261" t="s">
        <v>6197</v>
      </c>
      <c r="I326" t="str">
        <f t="shared" si="5"/>
        <v>"SHARP_SOUL_ORDER-Âme acérée":  {
 "Code" : "Âme acérée",
 "Class" : "MYSTICAL",
 "Specialisation" : "SHARP_SOUL_ORDER","UseNumber" : -1,
 "Description" : "À partir du niveau 1, vous gagnez le pouvoir de déployer une lame d'énergie psychique. En tant qu'action bonus, vous créez de scintillantes lames d'énergie qui émanent de vos deux poings. Pendant que ces lames se manifestent, vous ne pouvez rien tenir dans vos mains. Vous pouvez y mettre un terme à l'aide d'une action bonus. Pour vous, une âme acérée est une arme de corps-à-corps ayant les propriétés légère et finesse. Elle inflige 1d8 dégâts psychiques si elle touche. En utilisant une action bonus, vous pouvez vous préparer à parer ; vous gagnez alors un bonus de +2 à la CA jusqu'à la fin de votre prochain tour ou jusqu'à ce que vous soyez incapable d'agir."
  }</v>
      </c>
    </row>
    <row r="327" spans="1:9">
      <c r="A327" s="75" t="s">
        <v>6095</v>
      </c>
      <c r="B327" s="18" t="s">
        <v>6121</v>
      </c>
      <c r="C327" s="258" t="s">
        <v>6198</v>
      </c>
      <c r="D327" s="258"/>
      <c r="E327" s="258"/>
      <c r="F327" s="258" t="s">
        <v>2807</v>
      </c>
      <c r="G327" s="18"/>
      <c r="H327" s="261" t="s">
        <v>6199</v>
      </c>
      <c r="I327" t="str">
        <f t="shared" si="5"/>
        <v>"SHARP_SOUL_ORDER-Lame aiguisée":  {
 "Code" : "Lame aiguisée",
 "Class" : "MYSTICAL",
 "Specialisation" : "SHARP_SOUL_ORDER","Special" : true,
 "Description" : "À partir du niveau 3, vous pouvez utiliser des points psi afin d'augmenter les jets d'attaque et de dégâts de votre âme acérée. Vous obtenez un bonus aux jets d'attaque et de dégâts faits avec votre âme acérée en fonction du nombre de points psi dépensés, comme indiqué dans la table ci-dessous. Ce bonus dure 10 minutes.  Points psi	Bonus à l'attaque et aux dégâts 2			+1 5			+2 7			+4"
  }</v>
      </c>
    </row>
    <row r="328" spans="1:9">
      <c r="A328" s="75" t="s">
        <v>6095</v>
      </c>
      <c r="B328" s="18" t="s">
        <v>6121</v>
      </c>
      <c r="C328" s="258" t="s">
        <v>6200</v>
      </c>
      <c r="D328" s="258"/>
      <c r="E328" s="258"/>
      <c r="F328" s="258"/>
      <c r="G328" s="55">
        <v>-1</v>
      </c>
      <c r="H328" s="261" t="s">
        <v>6201</v>
      </c>
      <c r="I328" t="str">
        <f t="shared" si="5"/>
        <v>"SHARP_SOUL_ORDER-Poignard absorbant":  {
 "Code" : "Poignard absorbant",
 "Class" : "MYSTICAL",
 "Specialisation" : "SHARP_SOUL_ORDER","UseNumber" : -1,
 "Description" : "À partir du niveau 6, lorsque vous tuez une créature ennemie avec une attaque d'âme acérée, vous regagnez immédiatement 2 points psi."
  }</v>
      </c>
    </row>
    <row r="329" spans="1:9" ht="14.25" customHeight="1">
      <c r="A329" s="360" t="s">
        <v>6095</v>
      </c>
      <c r="B329" s="354" t="s">
        <v>6121</v>
      </c>
      <c r="C329" s="394" t="s">
        <v>6202</v>
      </c>
      <c r="D329" s="394"/>
      <c r="E329" s="394"/>
      <c r="F329" s="394"/>
      <c r="G329" s="354">
        <v>-1</v>
      </c>
      <c r="H329" s="395" t="s">
        <v>6203</v>
      </c>
      <c r="I329" t="str">
        <f t="shared" si="5"/>
        <v>"SHARP_SOUL_ORDER-Poignard fantôme":  {
 "Code" : "Poignard fantôme",
 "Class" : "MYSTICAL",
 "Specialisation" : "SHARP_SOUL_ORDER","UseNumber" : -1,
 "Description" : "À partir du niveau 14, vous pouvez réaliser une attaque qui passera à travers la plupart des défenses. Par une action, vous pouvez faire une attaque avec votre âme acérée. Traitez la CA de la cible comme si elle était de 10, peu importe la véritable CA de la créature ciblée."
  }</v>
      </c>
    </row>
    <row r="330" spans="1:9">
      <c r="A330" s="75" t="s">
        <v>6095</v>
      </c>
      <c r="B330" s="18" t="s">
        <v>6123</v>
      </c>
      <c r="C330" s="258" t="s">
        <v>6158</v>
      </c>
      <c r="D330" s="258" t="s">
        <v>2807</v>
      </c>
      <c r="E330" s="258"/>
      <c r="F330" s="258"/>
      <c r="G330" s="18"/>
      <c r="H330" s="261" t="s">
        <v>6204</v>
      </c>
      <c r="I330" t="str">
        <f t="shared" si="5"/>
        <v>"WU_JEN_ORDER-Disciplines supplémentaires":  {
 "Code" : "Disciplines supplémentaires",
 "Class" : "MYSTICAL",
 "Specialisation" : "WU_JEN_ORDER","Stats" : true,
 "Description" : "Au niveau 1, vous gagnez deux disciplines psioniques supplémentaires à choisir parmi les disciplines des Wu Jen."
  }</v>
      </c>
    </row>
    <row r="331" spans="1:9">
      <c r="A331" s="75" t="s">
        <v>6095</v>
      </c>
      <c r="B331" s="18" t="s">
        <v>6123</v>
      </c>
      <c r="C331" s="258" t="s">
        <v>6205</v>
      </c>
      <c r="D331" s="258" t="s">
        <v>2807</v>
      </c>
      <c r="E331" s="258"/>
      <c r="F331" s="258"/>
      <c r="G331" s="18"/>
      <c r="H331" s="261" t="s">
        <v>6206</v>
      </c>
      <c r="I331" t="str">
        <f t="shared" si="5"/>
        <v>"WU_JEN_ORDER-Observation de l'ermite":  {
 "Code" : "Observation de l'ermite",
 "Class" : "MYSTICAL",
 "Specialisation" : "WU_JEN_ORDER","Stats" : true,
 "Description" : "Au niveau 1, vous gagnez la maîtrise de deux compétences de votre choix parmi : Dressage, Arcanes, Histoire, Perspicacité, Médecine, Nature, Perception, Religion ou Survie."
  }</v>
      </c>
    </row>
    <row r="332" spans="1:9">
      <c r="A332" s="75" t="s">
        <v>6095</v>
      </c>
      <c r="B332" s="18" t="s">
        <v>6123</v>
      </c>
      <c r="C332" s="258" t="s">
        <v>3694</v>
      </c>
      <c r="D332" s="258"/>
      <c r="E332" s="258"/>
      <c r="F332" s="258" t="s">
        <v>2807</v>
      </c>
      <c r="G332" s="18"/>
      <c r="H332" s="261" t="s">
        <v>6207</v>
      </c>
      <c r="I332" t="str">
        <f t="shared" si="5"/>
        <v>"WU_JEN_ORDER-Lien élémentaire":  {
 "Code" : "Lien élémentaire",
 "Class" : "MYSTICAL",
 "Specialisation" : "WU_JEN_ORDER","Special" : true,
 "Description" : "À partir du niveau 3, lorsque la résistance d'une créature réduit les dégâts infligés par une de vos disciplines psioniques, vous pouvez utiliser un point psi pour que cette utilisation de la discipline permette d'ignorer la résistance de la créature. Vous ne pouvez utiliser ce point si cela augmenterait le coût de la discipline concernée au-dessus de votre limite de psi."
  }</v>
      </c>
    </row>
    <row r="333" spans="1:9">
      <c r="A333" s="75" t="s">
        <v>6095</v>
      </c>
      <c r="B333" s="18" t="s">
        <v>6123</v>
      </c>
      <c r="C333" s="258" t="s">
        <v>6208</v>
      </c>
      <c r="D333" s="258"/>
      <c r="E333" s="258"/>
      <c r="F333" s="258"/>
      <c r="G333" s="18"/>
      <c r="H333" s="261" t="s">
        <v>6209</v>
      </c>
      <c r="I333" t="str">
        <f t="shared" si="5"/>
        <v>"WU_JEN_ORDER-Arcaniste amateur":  {
 "Code" : "Arcaniste amateur",
 "Class" : "MYSTICAL",
 "Specialisation" : "WU_JEN_ORDER",
 "Description" : "Au niveau 6, vous apprenez trois sorts de magicien de votre choix et les avez toujours préparés. Ces sorts doivent être des sorts de niveau 1, 2 ou 3. En utilisant une action bonus, vous pouvez utiliser des points psi afin de créer des emplacements de sorts que vous pouvez utiliser pour lancer ces sorts, aussi que d'autres sorts que vous êtes capables de lancer. Le coût en points psi de chacun des sorts est détaillé dans la table ci-dessous.  Niveau d'emplacement de sort	Points psi 1								2 2								3 3								5 4								6 5								7 Les emplacements de sorts demeurent jusqu'à ce que vous les utilisiez ou que vous terminiez un repos long. Vous devez vous contraindre à votre limite de psi lorsque vous utilisez des points psi pour créer un emplacement de sort. De plus, lorsque vous gagnez un niveau dans cette classe, vous pouvez remplacer un de vos sorts de magicien choisis par un sort de magicien différent de niveau 1, 2 ou 3."
  }</v>
      </c>
    </row>
    <row r="334" spans="1:9">
      <c r="A334" s="75" t="s">
        <v>6095</v>
      </c>
      <c r="B334" s="18" t="s">
        <v>6123</v>
      </c>
      <c r="C334" s="258" t="s">
        <v>6210</v>
      </c>
      <c r="D334" s="258"/>
      <c r="E334" s="258"/>
      <c r="F334" s="258" t="s">
        <v>2807</v>
      </c>
      <c r="G334" s="52"/>
      <c r="H334" s="261" t="s">
        <v>6211</v>
      </c>
      <c r="I334" t="str">
        <f t="shared" si="5"/>
        <v>"WU_JEN_ORDER-Maîtrise des éléments":  {
 "Code" : "Maîtrise des éléments",
 "Class" : "MYSTICAL",
 "Specialisation" : "WU_JEN_ORDER","Special" : true,
 "Description" : "À partir du niveau 14, si vous êtes résistant à un type de dommage, vous pouvez utiliser 2 points psi en réaction lorsque vous subissez des dégâts de ce type afin de les ignorer complètement ; vous gagnez ainsi l'immunité à ce type de dégât jusqu'à la fin de votre prochain tour."
  }</v>
      </c>
    </row>
    <row r="335" spans="1:9">
      <c r="A335" s="264" t="s">
        <v>12</v>
      </c>
      <c r="B335" s="161"/>
      <c r="C335" s="259" t="s">
        <v>3710</v>
      </c>
      <c r="D335" s="259"/>
      <c r="E335" s="259"/>
      <c r="F335" s="259"/>
      <c r="G335" s="18">
        <v>-1</v>
      </c>
      <c r="H335" s="250" t="s">
        <v>3711</v>
      </c>
      <c r="I335" t="str">
        <f t="shared" si="5"/>
        <v>"PALADIN-Sens divin":  {
 "Code" : "Sens divin",
 "Class" : "PALADIN",
 "Specialisation" : "","UseNumber" : -1,
 "Description" : "Une forte présence maléfique éveille vos sens, comme une odeur nocive, et un bien puissant fait résonner dans vos oreilles une musique céleste. Par une action, vous pouvez éveiller votre conscience pour détecter de telles forces. Jusqu'à la fin de votre prochain tour, vous connaissez l'emplacement de toute créature céleste, fiélon ou mort-vivante dans un rayon de 18 mètres autour de vous, et qui ne se trouve pas derrière un abri total. Vous connaissez le type (céleste, fiélon ou mort-vivant) et le nombre de tous les êtres dont vous sentez la présence, mais pas leur identité (le vampire comte Strahd von Zarovich, par exemple). Dans ce même rayon, vous détectez également la présence d'un lieu ou d'un objet qui a été consacré ou profané, comme avec le sort sanctification.  Vous pouvez utiliser cette capacité un nombre de fois égal à 1 + votre modificateur de Charisme. Lorsque vous terminez un repos long, vous récupérez toutes les utilisations dépensées."
  }</v>
      </c>
    </row>
    <row r="336" spans="1:9">
      <c r="A336" s="75" t="s">
        <v>12</v>
      </c>
      <c r="B336" s="18"/>
      <c r="C336" s="258" t="s">
        <v>2830</v>
      </c>
      <c r="D336" s="258" t="s">
        <v>2807</v>
      </c>
      <c r="E336" s="258"/>
      <c r="F336" s="258"/>
      <c r="G336" s="18"/>
      <c r="H336" s="251" t="s">
        <v>3901</v>
      </c>
      <c r="I336" t="str">
        <f t="shared" si="5"/>
        <v>"PALADIN-Style de combat":  {
 "Code" : "Style de combat",
 "Class" : "PALADIN",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v>
      </c>
    </row>
    <row r="337" spans="1:9">
      <c r="A337" s="75" t="s">
        <v>12</v>
      </c>
      <c r="B337" s="18"/>
      <c r="C337" s="258" t="s">
        <v>3712</v>
      </c>
      <c r="D337" s="258"/>
      <c r="E337" s="258"/>
      <c r="F337" s="258"/>
      <c r="G337" s="18">
        <v>-1</v>
      </c>
      <c r="H337" s="251" t="s">
        <v>3713</v>
      </c>
      <c r="I337" t="str">
        <f t="shared" si="5"/>
        <v>"PALADIN-Imposition des mains":  {
 "Code" : "Imposition des mains",
 "Class" : "PALADIN",
 "Specialisation" : "","UseNumber" : -1,
 "Description" : "Votre toucher béni peut guérir les blessures. Vous possédez une réserve de points de vie à soigner qui se récupère après chaque repos long. Avec cette réserve, vous pouvez restaurer un nombre total de points de vie égal à votre niveau de paladin multiplié par 5. Au prix d'une action, vous pouvez toucher une créature et puiser dans votre réserve pour soigner autant de points de vie que vous le désirez, sans dépasser le nombre de points dans votre réserve bien entendu.  Vous pouvez également dépenser 5 points de vie de votre réserve pour guérir la cible d'une maladie ou neutraliser un poison qui l'affecte. Vous pouvez soigner plusieurs maladies et neutraliser plusieurs poisons avec une seule imposition des mains en dépensant les points de vie séparément pour chacun d'entre eux. L'imposition des mains n'a aucun effet sur les morts-vivants ou les créatures artificielles."
  }</v>
      </c>
    </row>
    <row r="338" spans="1:9">
      <c r="A338" s="75" t="s">
        <v>12</v>
      </c>
      <c r="B338" s="18"/>
      <c r="C338" s="258" t="s">
        <v>3714</v>
      </c>
      <c r="D338" s="258"/>
      <c r="E338" s="258"/>
      <c r="F338" s="258"/>
      <c r="G338" s="18">
        <v>-1</v>
      </c>
      <c r="H338" s="261" t="s">
        <v>3715</v>
      </c>
      <c r="I338" t="str">
        <f t="shared" si="5"/>
        <v>"PALADIN-Châtiment divin":  {
 "Code" : "Châtiment divin",
 "Class" : "PALADIN",
 "Specialisation" : "","UseNumber" : -1,
 "Description" : "À partir du niveau 2, quand vous touchez une créature avec une arme de corps à corps, vous pouvez utiliser n'importe quel emplacement de sort (de paladin ou autre) pour châtier cette créature et lui infliger des dégâts radiants supplémentaires. Les dégâts supplémentaires infligés sont de 2d8 pour un emplacement de sort de niveau 1, plus 1d8 supplémentaire pour chaque niveau de sort supérieur à 1, jusqu'à un maximum de 5d8. Si la créature est un mort-vivant ou un fiélon, les dégâts augmentent de 1d8, jusqu'à un maximum de 6d8."
  }</v>
      </c>
    </row>
    <row r="339" spans="1:9">
      <c r="A339" s="75" t="s">
        <v>12</v>
      </c>
      <c r="B339" s="18"/>
      <c r="C339" s="258" t="s">
        <v>3716</v>
      </c>
      <c r="D339" s="258" t="s">
        <v>2807</v>
      </c>
      <c r="E339" s="258"/>
      <c r="F339" s="258"/>
      <c r="G339" s="18"/>
      <c r="H339" s="261" t="s">
        <v>3717</v>
      </c>
      <c r="I339" t="str">
        <f t="shared" si="5"/>
        <v>"PALADIN-Santé divine":  {
 "Code" : "Santé divine",
 "Class" : "PALADIN",
 "Specialisation" : "","Stats" : true,
 "Description" : "À partir du niveau 3, la magie divine qui coule en vous vous immunise contre les maladies."
  }</v>
      </c>
    </row>
    <row r="340" spans="1:9">
      <c r="A340" s="75" t="s">
        <v>12</v>
      </c>
      <c r="B340" s="18"/>
      <c r="C340" s="258" t="s">
        <v>3218</v>
      </c>
      <c r="D340" s="258"/>
      <c r="E340" s="258"/>
      <c r="F340" s="258"/>
      <c r="G340" s="18">
        <v>-1</v>
      </c>
      <c r="H340" s="261" t="s">
        <v>3718</v>
      </c>
      <c r="I340" t="str">
        <f t="shared" si="5"/>
        <v>"PALADIN-Serment sacré":  {
 "Code" : "Serment sacré",
 "Class" : "PALADIN",
 "Specialisation" : "","UseNumber" : -1,
 "Description" : "Au niveau 3, vous prêtez un serment qui vous lie en tant que paladin pour l'éternité. Jusque-là, vous étiez dans une phase préparatoire, engagé dans la voie, mais sans avoir encore prêté serment. Maintenant, vous devez choisir entre le serment de dévotion, le serment des Anciens ou le serment de vengeance, qui sont tous détaillés à la fin de la description de la classe. Votre choix vous accorde des capacités au niveau 3, puis aux niveaux 7, 15 et 20. Ces capacités comprennent des sorts de serment et la capacité de Canalisation d'énergie divine."
  }</v>
      </c>
    </row>
    <row r="341" spans="1:9">
      <c r="A341" s="75" t="s">
        <v>12</v>
      </c>
      <c r="B341" s="18"/>
      <c r="C341" s="258" t="s">
        <v>3719</v>
      </c>
      <c r="D341" s="258"/>
      <c r="E341" s="258"/>
      <c r="F341" s="258"/>
      <c r="G341" s="18">
        <v>-1</v>
      </c>
      <c r="H341" s="261" t="s">
        <v>3720</v>
      </c>
      <c r="I341" t="str">
        <f t="shared" si="5"/>
        <v>"PALADIN-Sorts de serment":  {
 "Code" : "Sorts de serment",
 "Class" : "PALADIN",
 "Specialisation" : "","UseNumber" : -1,
 "Description" : "Chaque serment est associé à une liste de sorts qui lui est propre. Vous accèderez à ces sorts au niveau spécifié dans la description du serment. Une fois que vous avez accès à un sort de serment, celui-ci sera toujours considéré comme préparé mais ne compte pas dans le nombre de sorts que vous préparez chaque jour. Si vous gagnez un sort de serment qui n'est pas dans la liste des sorts de paladin, ce sort sera tout de même considéré comme étant un sort de paladin pour vous."
  }</v>
      </c>
    </row>
    <row r="342" spans="1:9">
      <c r="A342" s="75" t="s">
        <v>12</v>
      </c>
      <c r="B342" s="18"/>
      <c r="C342" s="258" t="s">
        <v>3721</v>
      </c>
      <c r="D342" s="258"/>
      <c r="E342" s="258"/>
      <c r="F342" s="258"/>
      <c r="G342" s="18">
        <v>-1</v>
      </c>
      <c r="H342" s="261" t="s">
        <v>3722</v>
      </c>
      <c r="I342" t="str">
        <f t="shared" si="5"/>
        <v>"PALADIN-Canalisation d'énergie divine":  {
 "Code" : "Canalisation d'énergie divine",
 "Class" : "PALADIN",
 "Specialisation" : "","UseNumber" : -1,
 "Description" : "Votre serment vous permet de canaliser de l'énergie divine qui alimente des effets magiques. Chaque Canalisation d'énergie divine proposée par votre serment en détaille les options d'utilisation. Quand vous utilisez votre Canalisation d'énergie divine, vous choisissez quelle option vous voulez utiliser. Un repos court ou long est nécessaire pour pouvoir utiliser une Canalisation d'énergie divine de nouveau. Certains effets de Canalisation d'énergie divine nécessitent des jets de sauvegarde. Quand vous utilisez ce type d'effet, le DD est égal au DD pour résister à vos sorts."
  }</v>
      </c>
    </row>
    <row r="343" spans="1:9">
      <c r="A343" s="75" t="s">
        <v>12</v>
      </c>
      <c r="B343" s="18"/>
      <c r="C343" s="258" t="s">
        <v>167</v>
      </c>
      <c r="D343" s="258" t="s">
        <v>2807</v>
      </c>
      <c r="E343" s="258"/>
      <c r="F343" s="258"/>
      <c r="G343" s="18"/>
      <c r="H343" s="261" t="s">
        <v>191</v>
      </c>
      <c r="I343" t="str">
        <f t="shared" si="5"/>
        <v>"PALADIN-Amélioration de caractéristiques":  {
 "Code" : "Amélioration de caractéristiques",
 "Class" : "PALADIN",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344" spans="1:9">
      <c r="A344" s="75" t="s">
        <v>12</v>
      </c>
      <c r="B344" s="18"/>
      <c r="C344" s="258" t="s">
        <v>194</v>
      </c>
      <c r="D344" s="258"/>
      <c r="E344" s="258"/>
      <c r="F344" s="258"/>
      <c r="G344" s="18">
        <v>-1</v>
      </c>
      <c r="H344" s="261" t="s">
        <v>3280</v>
      </c>
      <c r="I344" t="str">
        <f t="shared" si="5"/>
        <v>"PALADIN-Attaque supplémentaire":  {
 "Code" : "Attaque supplémentaire",
 "Class" : "PALADIN",
 "Specialisation" : "","UseNumber" : -1,
 "Description" : "À partir du niveau 5, vous pouvez attaquer deux fois, au lieu d'une seule, chaque fois que vous réalisez l'action Attaquer durant votre tour."
  }</v>
      </c>
    </row>
    <row r="345" spans="1:9">
      <c r="A345" s="75" t="s">
        <v>12</v>
      </c>
      <c r="B345" s="18"/>
      <c r="C345" s="258" t="s">
        <v>3723</v>
      </c>
      <c r="D345" s="258"/>
      <c r="E345" s="258"/>
      <c r="F345" s="258"/>
      <c r="G345" s="18">
        <v>-1</v>
      </c>
      <c r="H345" s="261" t="s">
        <v>3724</v>
      </c>
      <c r="I345" t="str">
        <f t="shared" si="5"/>
        <v>"PALADIN-Aura de protection":  {
 "Code" : "Aura de protection",
 "Class" : "PALADIN",
 "Specialisation" : "","UseNumber" : -1,
 "Description" : "À partir du niveau 6, si vous ou une créature alliée située à 3 mètres ou moins de vous doit effectuer un jet de sauvegarde, la créature gagne un bonus égal à votre modificateur de Charisme (minimum +1). Vous devez être conscient pour accorder ce bonus. Au niveau 18, le rayon de l'aura passe à 9 mètres."
  }</v>
      </c>
    </row>
    <row r="346" spans="1:9">
      <c r="A346" s="75" t="s">
        <v>12</v>
      </c>
      <c r="B346" s="18"/>
      <c r="C346" s="258" t="s">
        <v>3725</v>
      </c>
      <c r="D346" s="258"/>
      <c r="E346" s="258"/>
      <c r="F346" s="258"/>
      <c r="G346" s="18">
        <v>-1</v>
      </c>
      <c r="H346" s="261" t="s">
        <v>3726</v>
      </c>
      <c r="I346" t="str">
        <f t="shared" si="5"/>
        <v>"PALADIN-Aura de courage":  {
 "Code" : "Aura de courage",
 "Class" : "PALADIN",
 "Specialisation" : "","UseNumber" : -1,
 "Description" : "À partir du niveau 10, vous et toutes créatures amicales situées à 3 mètres ou moins de vous ne pouvez être effrayés tant que vous êtes conscient. Au niveau 18, le rayon de l'aura passe à 9 mètres."
  }</v>
      </c>
    </row>
    <row r="347" spans="1:9">
      <c r="A347" s="75" t="s">
        <v>12</v>
      </c>
      <c r="B347" s="18"/>
      <c r="C347" s="258" t="s">
        <v>3727</v>
      </c>
      <c r="D347" s="258"/>
      <c r="E347" s="258"/>
      <c r="F347" s="258"/>
      <c r="G347" s="18">
        <v>-1</v>
      </c>
      <c r="H347" s="261" t="s">
        <v>3728</v>
      </c>
      <c r="I347" t="str">
        <f t="shared" si="5"/>
        <v>"PALADIN-Châtiment divin amélioré":  {
 "Code" : "Châtiment divin amélioré",
 "Class" : "PALADIN",
 "Specialisation" : "","UseNumber" : -1,
 "Description" : "Au niveau 11, vous êtes tellement imprégné de vertus que toutes vos armes de corps à corps portent la puissance divine en elles. Lorsque vous touchez avec une arme de corps à corps, la créature cible subit 1d8 dégâts radiants supplémentaires. "
  }</v>
      </c>
    </row>
    <row r="348" spans="1:9">
      <c r="A348" s="274" t="s">
        <v>12</v>
      </c>
      <c r="B348" s="270"/>
      <c r="C348" s="272" t="s">
        <v>3729</v>
      </c>
      <c r="D348" s="272"/>
      <c r="E348" s="272"/>
      <c r="F348" s="272"/>
      <c r="G348" s="18">
        <v>-1</v>
      </c>
      <c r="H348" s="273" t="s">
        <v>3730</v>
      </c>
      <c r="I348" t="str">
        <f t="shared" si="5"/>
        <v>"PALADIN-Contact purifiant":  {
 "Code" : "Contact purifiant",
 "Class" : "PALADIN",
 "Specialisation" : "","UseNumber" : -1,
 "Description" : "À partir du niveau 14, vous pouvez utiliser votre action pour mettre fin à un sort sur vous ou une créature consentante que vous touchez. Vous pouvez utiliser cette capacité un nombre de fois égal à votre modificateur de Charisme (minimum 1) entre deux repos long."
  }</v>
      </c>
    </row>
    <row r="349" spans="1:9">
      <c r="A349" s="75" t="s">
        <v>12</v>
      </c>
      <c r="B349" s="55" t="s">
        <v>3222</v>
      </c>
      <c r="C349" s="258" t="s">
        <v>3731</v>
      </c>
      <c r="D349" s="258"/>
      <c r="E349" s="258"/>
      <c r="F349" s="258"/>
      <c r="G349" s="18">
        <v>-1</v>
      </c>
      <c r="H349" s="251" t="s">
        <v>3732</v>
      </c>
      <c r="I349" t="str">
        <f t="shared" si="5"/>
        <v>"DEVOTION-Principes de Dévotion":  {
 "Code" : "Principes de Dévotion",
 "Class" : "PALADIN",
 "Specialisation" : "DEVOTION","UseNumber" : -1,
 "Description" : "Bien que les mots exacts et les restrictions imposées par le serment de dévotion varient, les paladins de ce serment partagent ces préceptes.  Honnêteté. Ne ment pas et ne triche pas. Que ta parole soit ta promesse. Courage. N'aies jamais peur d'agir, même si la prudence est sage. Compassion. Aide les autres, protège les faibles et punit ceux qui les menacent. Fais preuve de miséricorde envers tes ennemis, tempérée avec sagesse. Honneur. Traite les autres avec équité et fais de tes actes honorables un exemple pour eux. Fais le bien autant que possible, sans causer de préjudice. Devoir. Soit responsable de tes actes et de leurs conséquences ; protège ceux qui te sont confiés et obéis à ceux qui ont une autorité sur toi."
  }</v>
      </c>
    </row>
    <row r="350" spans="1:9">
      <c r="A350" s="75" t="s">
        <v>12</v>
      </c>
      <c r="B350" s="55" t="s">
        <v>3222</v>
      </c>
      <c r="C350" s="258" t="s">
        <v>3719</v>
      </c>
      <c r="D350" s="258"/>
      <c r="E350" s="258"/>
      <c r="F350" s="258"/>
      <c r="G350" s="18">
        <v>-1</v>
      </c>
      <c r="H350" s="280" t="s">
        <v>3733</v>
      </c>
      <c r="I350" t="str">
        <f t="shared" si="5"/>
        <v>"DEVOTION-Sorts de serment":  {
 "Code" : "Sorts de serment",
 "Class" : "PALADIN",
 "Specialisation" : "DEVOTION","UseNumber" : -1,
 "Description" : "Vous gagnez des sorts de serment aux niveaux de paladin indiqués.  Niveau de paladin	 Sorts 3	                 protection contre le mal et le bien, sanctuaire 5	                 restauration partielle, zone de vérité 9	                 dissipation de la magie, lueur d'espoir 13	                 gardien de la foi, liberté de mouvement 17	                 colonne de flamme, communion"
  }</v>
      </c>
    </row>
    <row r="351" spans="1:9">
      <c r="A351" s="75" t="s">
        <v>12</v>
      </c>
      <c r="B351" s="55" t="s">
        <v>3222</v>
      </c>
      <c r="C351" s="256" t="s">
        <v>3721</v>
      </c>
      <c r="D351" s="256"/>
      <c r="E351" s="256"/>
      <c r="F351" s="256"/>
      <c r="G351" s="18">
        <v>-1</v>
      </c>
      <c r="H351" s="280" t="s">
        <v>3734</v>
      </c>
      <c r="I351" t="str">
        <f t="shared" si="5"/>
        <v>"DEVOTION-Canalisation d'énergie divine":  {
 "Code" : "Canalisation d'énergie divine",
 "Class" : "PALADIN",
 "Specialisation" : "DEVOTION","UseNumber" : -1,
 "Description" : "Quand vous prêtez votre serment au niveau 3, vous gagnez les deux options suivantes de Canalisation d'énergie divine.  Arme sacrée. Au prix d'une action, vous pouvez imprégner l'arme que vous tenez avec d'énergie positive, utilisant votre Canalisation d'énergie divine. Durant 1 minute, vous ajoutez votre modificateur de Charisme à vos jets d'attaque faits avec cette arme (minimum +1) et l'arme émet une lumière vive dans un rayon de 6 mètres et une lumière faible sur 6 mètres supplémentaires. Si l'arme n'est pas déjà magique, elle le devient pendant la durée du sort. Vous pouvez arrêter cet effet lors de votre tour dans le cadre d'une autre action. Si vous ne tenez plus ou ne portez plus cette arme, ou si vous êtes inconscient, l'effet prend fin.  Renvoi des impies. Au prix d'une action, vous présentez votre symbole sacré en psalmodiant une prière contre les morts-vivants ou les fiélons, utilisant votre Canalisation d'énergie divine. Chaque mort-vivant ou fiélon à 9 mètres autour de vous qui peuvent vous entendre ou vous voir, doivent faire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v>
      </c>
    </row>
    <row r="352" spans="1:9">
      <c r="A352" s="75" t="s">
        <v>12</v>
      </c>
      <c r="B352" s="55" t="s">
        <v>3222</v>
      </c>
      <c r="C352" s="258" t="s">
        <v>3735</v>
      </c>
      <c r="D352" s="258"/>
      <c r="E352" s="258"/>
      <c r="F352" s="258"/>
      <c r="G352" s="18">
        <v>-1</v>
      </c>
      <c r="H352" s="261" t="s">
        <v>3736</v>
      </c>
      <c r="I352" t="str">
        <f t="shared" si="5"/>
        <v>"DEVOTION-Aura de dévotion":  {
 "Code" : "Aura de dévotion",
 "Class" : "PALADIN",
 "Specialisation" : "DEVOTION","UseNumber" : -1,
 "Description" : "À partir du niveau 7, vous et toutes créatures amicales à 3 mètres ou moins de vous ne peuvent être charmées tant que vous êtes conscient. Au niveau 18, le rayon de l'aura passe à 9 mètres."
  }</v>
      </c>
    </row>
    <row r="353" spans="1:9">
      <c r="A353" s="75" t="s">
        <v>12</v>
      </c>
      <c r="B353" s="55" t="s">
        <v>3222</v>
      </c>
      <c r="C353" s="258" t="s">
        <v>3737</v>
      </c>
      <c r="D353" s="258"/>
      <c r="E353" s="258"/>
      <c r="F353" s="258"/>
      <c r="G353" s="18">
        <v>-1</v>
      </c>
      <c r="H353" s="251" t="s">
        <v>3738</v>
      </c>
      <c r="I353" t="str">
        <f t="shared" si="5"/>
        <v>"DEVOTION-Pureté de l'esprit":  {
 "Code" : "Pureté de l'esprit",
 "Class" : "PALADIN",
 "Specialisation" : "DEVOTION","UseNumber" : -1,
 "Description" : "À partir du niveau 15, vous êtes en permanence sous l'effet d'un sort de protection contre le mal et le bien."
  }</v>
      </c>
    </row>
    <row r="354" spans="1:9">
      <c r="A354" s="274" t="s">
        <v>12</v>
      </c>
      <c r="B354" s="275" t="s">
        <v>3222</v>
      </c>
      <c r="C354" s="272" t="s">
        <v>3739</v>
      </c>
      <c r="D354" s="272"/>
      <c r="E354" s="272"/>
      <c r="F354" s="272"/>
      <c r="G354" s="18">
        <v>-1</v>
      </c>
      <c r="H354" s="271" t="s">
        <v>3740</v>
      </c>
      <c r="I354" t="str">
        <f t="shared" si="5"/>
        <v>"DEVOTION-Halo sacré":  {
 "Code" : "Halo sacré",
 "Class" : "PALADIN",
 "Specialisation" : "DEVOTION","UseNumber" : -1,
 "Description" : "Au niveau 20, au prix d'une action, vous pouvez diffuser une lumière brillante semblable à celle du soleil. Pendant 1 minute, une lumière vive s'échappe de vous sur un rayon de 9 mètres, et une lumière faible sur 9 mètres supplémentaires.  Quand une créature ennemie commence son tour dans la zone de lumière vive, elle subit 10 points de dégâts radiants. De plus, pendant cette durée, vous avez un avantage à vos jets de sauvegarde contre les sorts que les fiélons ou les morts-vivants jettent. Une fois cette capacité utilisée, vous devez terminer un repos long pour pouvoir l'utiliser de nouveau."
  }</v>
      </c>
    </row>
    <row r="355" spans="1:9">
      <c r="A355" s="75" t="s">
        <v>12</v>
      </c>
      <c r="B355" s="55" t="s">
        <v>3228</v>
      </c>
      <c r="C355" s="256" t="s">
        <v>3741</v>
      </c>
      <c r="D355" s="256"/>
      <c r="E355" s="256"/>
      <c r="F355" s="256"/>
      <c r="G355" s="18">
        <v>-1</v>
      </c>
      <c r="H355" s="251" t="s">
        <v>3742</v>
      </c>
      <c r="I355" t="str">
        <f t="shared" si="5"/>
        <v>"OLD-Principes des Anciens":  {
 "Code" : "Principes des Anciens",
 "Class" : "PALADIN",
 "Specialisation" : "OLD","UseNumber" : -1,
 "Description" : "Les préceptes du serment des Anciens ont été préservés pendant des siècles innombrables. Ce serment met l'accent sur les principes du bien au-dessus des questions de loi ou de chaos. Ses quatre principes centraux sont simples.  Ravive la lumière. Par tes actes de miséricorde, de bonté et de pardon, ravive une lumière d'espoir dans le monde et repousse le désespoir. Protège la lumière. Là où dans le monde il y a le bien, de la beauté, de l'amour et du rire, lève toi contre la perversité qui veut l'emporter. Là où la vie fleurit, lève toi contre les forces qui veulent la rendre stérile. Préserve ta propre lumière. Jouis des chansons et des rires, de la beauté et de l'art. Si tu permets que la lumière meurt dans ton propre cœur, tu ne pourras pas la sauver dans le monde. Devient lumière. Sois un phare glorieux pour tous ceux qui vivent dans le désespoir. Que la lumière de ta joie et de ton courage brille dans tous tes actes."
  }</v>
      </c>
    </row>
    <row r="356" spans="1:9">
      <c r="A356" s="75" t="s">
        <v>12</v>
      </c>
      <c r="B356" s="55" t="s">
        <v>3228</v>
      </c>
      <c r="C356" s="258" t="s">
        <v>3719</v>
      </c>
      <c r="D356" s="258"/>
      <c r="E356" s="258"/>
      <c r="F356" s="258"/>
      <c r="G356" s="18">
        <v>-1</v>
      </c>
      <c r="H356" s="280" t="s">
        <v>3743</v>
      </c>
      <c r="I356" t="str">
        <f t="shared" si="5"/>
        <v>"OLD-Sorts de serment":  {
 "Code" : "Sorts de serment",
 "Class" : "PALADIN",
 "Specialisation" : "OLD","UseNumber" : -1,
 "Description" : "Vous gagnez des sorts de serment aux niveaux de paladin indiqués.  Niveau de paladin	Sorts 3	                communication avec les animaux, frappe piégeante 5	                pas brumeux, rayon de lune 9	                croissance végétale, protection contre une énergie 13	                peau de pierre, tempête de grêle 17	                communion avec la nature, passage par les arbres"
  }</v>
      </c>
    </row>
    <row r="357" spans="1:9">
      <c r="A357" s="75" t="s">
        <v>12</v>
      </c>
      <c r="B357" s="55" t="s">
        <v>3228</v>
      </c>
      <c r="C357" s="256" t="s">
        <v>3721</v>
      </c>
      <c r="D357" s="256"/>
      <c r="E357" s="256"/>
      <c r="F357" s="256"/>
      <c r="G357" s="18">
        <v>-1</v>
      </c>
      <c r="H357" s="280" t="s">
        <v>3744</v>
      </c>
      <c r="I357" t="str">
        <f t="shared" si="5"/>
        <v>"OLD-Canalisation d'énergie divine":  {
 "Code" : "Canalisation d'énergie divine",
 "Class" : "PALADIN",
 "Specialisation" : "OLD","UseNumber" : -1,
 "Description" : "Quand vous prêtez votre serment au niveau 3, vous gagnez les deux options suivantes de Canalisation d'énergie divine.  Colère de la nature. Vous pouvez utiliser votre Canalisation d'énergie divine pour invoquer les forces primaires afin de piéger un ennemi. Au prix d'une action, vous faites surgir des vignes spectrales qui entravent une créature à 3 mètres ou moins de vous et que vous pouvez voir. La créature doit réussir un jet de sauvegarde de Force ou de Dextérité (son choix) ou être Entravée. Bien que retenue par les vignes, la créature répète son jet de sauvegarde à la fin de chacun de ses tours. En cas de réussite, elle se libère et les vignes disparaissent.  Renvoi des infidèles. Vous pouvez utiliser votre Canalisation d'énergie divine pour prononcer des mots anciens qui sont douloureux d'entendre pour les créatures féériques et les fiélons. Au prix d'une action, vous présentez votre symbole sacré et chaque fée ou fiélon à 9 mètres ou moins qui peut vous entendre doit faire un jet de sauvegarde de Sagesse. Sur un échec,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Si la vraie forme de la créature est cachée par une illusion, un changement de forme, ou un autre effet, cette forme se révèle alors qu'elle est renvoyée."
  }</v>
      </c>
    </row>
    <row r="358" spans="1:9">
      <c r="A358" s="75" t="s">
        <v>12</v>
      </c>
      <c r="B358" s="55" t="s">
        <v>3228</v>
      </c>
      <c r="C358" s="258" t="s">
        <v>3745</v>
      </c>
      <c r="D358" s="258"/>
      <c r="E358" s="258"/>
      <c r="F358" s="258"/>
      <c r="G358" s="18">
        <v>-1</v>
      </c>
      <c r="H358" s="261" t="s">
        <v>3746</v>
      </c>
      <c r="I358" t="str">
        <f t="shared" si="5"/>
        <v>"OLD-Aura de résistance":  {
 "Code" : "Aura de résistance",
 "Class" : "PALADIN",
 "Specialisation" : "OLD","UseNumber" : -1,
 "Description" : "À partir du niveau 7, la magie ancienne est si lourdement sur vous qu'elle forme une protection. Vous et vos alliés dans un rayon de 3 mètres autour de vous gagnez la résistance aux dégâts causés par les sorts. Au niveau 18, le rayon de l'aura passe à 9 mètres."
  }</v>
      </c>
    </row>
    <row r="359" spans="1:9">
      <c r="A359" s="75" t="s">
        <v>12</v>
      </c>
      <c r="B359" s="55" t="s">
        <v>3228</v>
      </c>
      <c r="C359" s="256" t="s">
        <v>3747</v>
      </c>
      <c r="D359" s="256"/>
      <c r="E359" s="256"/>
      <c r="F359" s="256"/>
      <c r="G359" s="18">
        <v>-1</v>
      </c>
      <c r="H359" s="261" t="s">
        <v>3748</v>
      </c>
      <c r="I359" t="str">
        <f t="shared" si="5"/>
        <v>"OLD-Sentinelle immortelle":  {
 "Code" : "Sentinelle immortelle",
 "Class" : "PALADIN",
 "Specialisation" : "OLD","UseNumber" : -1,
 "Description" : "À partir du niveau 15, lorsque vous êtes réduit à 0 point de vie et que vous n'êtes pas tué sur le coup, vous pouvez choisir de passer à 1 point de vie. Une fois cette capacité utilisée, vous devez terminer un repos long pour pouvoir l'utiliser de nouveau. De plus, vous ne souffrez d'aucun inconvénient dû à la vieillesse, et ne pouvez pas vieillir magiquement."
  }</v>
      </c>
    </row>
    <row r="360" spans="1:9">
      <c r="A360" s="274" t="s">
        <v>12</v>
      </c>
      <c r="B360" s="275" t="s">
        <v>3228</v>
      </c>
      <c r="C360" s="272" t="s">
        <v>3749</v>
      </c>
      <c r="D360" s="272"/>
      <c r="E360" s="272"/>
      <c r="F360" s="272"/>
      <c r="G360" s="18">
        <v>-1</v>
      </c>
      <c r="H360" s="271" t="s">
        <v>3750</v>
      </c>
      <c r="I360" t="str">
        <f t="shared" si="5"/>
        <v>"OLD-Champion des Anciens":  {
 "Code" : "Champion des Anciens",
 "Class" : "PALADIN",
 "Specialisation" : "OLD","UseNumber" : -1,
 "Description" : "Au niveau 20, vous pouvez prendre la forme d'une ancienne force de la nature, revêtant l'aspect que vous souhaitez. Par exemple, votre peau peut devenir verte ou prendre une texture semblable à l'écorce, vos cheveux pourrait devenir feuillu ou semblable à de la mousse, ou vous pourriez avoir des bois qui poussent ou une crinière de lion. Au prix d'une action, vous subissez une transformation. Pendant 1 minute, vous obtenez les avantages suivants :  Au début de chacun de vos tours, vous regagnez 10 points de vie. Chaque fois que vous lancez un sort de paladin qui possède un temps d'incantation de 1 action, vous pouvez lancer le sort en action bonus à la place. Les créatures ennemies dans un rayon de 3 mètres autour de vous ont un désavantage aux jets de sauvegarde contre vos sorts de paladin et vos options de Canalisation d'énergie divine. Une fois cette capacité utilisée, vous devez terminer un repos long pour pouvoir l'utiliser de nouveau."
  }</v>
      </c>
    </row>
    <row r="361" spans="1:9">
      <c r="A361" s="75" t="s">
        <v>12</v>
      </c>
      <c r="B361" s="55" t="s">
        <v>3233</v>
      </c>
      <c r="C361" s="258" t="s">
        <v>3751</v>
      </c>
      <c r="D361" s="258"/>
      <c r="E361" s="258"/>
      <c r="F361" s="258"/>
      <c r="G361" s="18">
        <v>-1</v>
      </c>
      <c r="H361" s="251" t="s">
        <v>3752</v>
      </c>
      <c r="I361" t="str">
        <f t="shared" si="5"/>
        <v>"REVENGE-Principes de Vengeance":  {
 "Code" : "Principes de Vengeance",
 "Class" : "PALADIN",
 "Specialisation" : "REVENGE","UseNumber" : -1,
 "Description" : "Chaque serment de vengeance est différent, mais tous ont en commun de punir les fautifs à tout prix et par tous les moyens nécessaires. Toutefois, bien que les serments soient presque toujours fait pour punir les méchants, les paladins qui font le serment de vengeance sont eux-mêmes généralement d'alignement neutre ou loyal neutre. Les principes fondamentaux des principes sont brutalement simples.  Combats le plus grand Mal. Face au choix de combattre mes ennemis jurés ou de lutter contre un mal mineur, je choisis le plus grand mal. Pas de pitié pour les mauvais. Des adversaires ordinaires peuvent gagner ma miséricorde, mais pas mes ennemis jurés. Tous les moyens sont bons. Mes états d'âme ne doivent pas intervenir dans mon intention d'exterminer mes ennemis. Compensation. Si mes ennemis causent la ruine dans le monde, c'est parce que je n'ai pas réussi à les arrêter. Je dois aider ceux qui ont souffert de leurs méfaits.  Sorts de serment Vous gagnez des sorts de serment aux niveaux de paladin indiqués.  Niveau de paladin	Sorts 3	                fléau, marque du chasseur 5	                immobilisation de personne, pas brumeux 9	                hâte, protection contre une énergie 13	                bannissement, porte dimensionnelle 17	                immobilisation de monstre, scrutation"
  }</v>
      </c>
    </row>
    <row r="362" spans="1:9">
      <c r="A362" s="75" t="s">
        <v>12</v>
      </c>
      <c r="B362" s="55" t="s">
        <v>3233</v>
      </c>
      <c r="C362" s="256" t="s">
        <v>3721</v>
      </c>
      <c r="D362" s="256"/>
      <c r="E362" s="256"/>
      <c r="F362" s="256"/>
      <c r="G362" s="18">
        <v>-1</v>
      </c>
      <c r="H362" s="280" t="s">
        <v>3753</v>
      </c>
      <c r="I362" t="str">
        <f t="shared" si="5"/>
        <v>"REVENGE-Canalisation d'énergie divine":  {
 "Code" : "Canalisation d'énergie divine",
 "Class" : "PALADIN",
 "Specialisation" : "REVENGE","UseNumber" : -1,
 "Description" : "Quand vous prêtez votre serment au niveau 3, vous gagnez les deux options suivantes de Canalisation d'énergie divine.  Conspuer l'ennemi. Au prix d'une action, vous présentez votre symbole sacré tout en psalmodiant une prière de dénonciation, utilisant votre Canalisation d'énergie divine. Choisissez une créature à 9 mètres ou moins de vous et que vous pouvez voir. Cette créature doit faire un jet de sauvegarde de Sagesse, à moins qu'elle ne soit immunisée contre la condition effrayé. Un fiélon ou un mort-vivant a un désavantage à son jet de sauvegarde. Si la créature rate son jet de sauvegarde, elle est effrayée pendant 1 minute ou jusqu'à ce qu'elle prenne des dégâts. La vitesse de déplacement d'une créature effrayée est de 0 et elle ne peut profiter d'aucun bonus de vitesse. Si la créature réussit son jet de sauvegarde, sa vitesse est divisée par deux pendant 1 minute ou jusqu'à ce qu'elle prenne des dégâts.  Vœu d'inimité. Au prix d'une action bonus, vous pouvez prononcer un vœu d'inimitié contre une créature à 3 mètres ou moins de vous en utilisant votre Canalisation d'énergie divine. Vous bénéficiez alors d'un avantage aux jets d'attaque contre cette créature pendant 1 minute ou jusqu'à ce qu'elle tombe à 0 point de vie ou qu'elle tombe inconsciente."
  }</v>
      </c>
    </row>
    <row r="363" spans="1:9">
      <c r="A363" s="75" t="s">
        <v>12</v>
      </c>
      <c r="B363" s="55" t="s">
        <v>3233</v>
      </c>
      <c r="C363" s="258" t="s">
        <v>3754</v>
      </c>
      <c r="D363" s="258"/>
      <c r="E363" s="258"/>
      <c r="F363" s="258"/>
      <c r="G363" s="18">
        <v>-1</v>
      </c>
      <c r="H363" s="261" t="s">
        <v>3755</v>
      </c>
      <c r="I363" t="str">
        <f t="shared" si="5"/>
        <v>"REVENGE-Vengeur implacable":  {
 "Code" : "Vengeur implacable",
 "Class" : "PALADIN",
 "Specialisation" : "REVENGE","UseNumber" : -1,
 "Description" : "À partir du niveau 7, votre concentration surnaturelle vous permet de contrer la retraite d'un adversaire. Lorsque vous touchez une créature lors d'une attaque d'opportunité, vous pouvez vous déplacer de la moitié de votre vitesse de déplacement dès l'attaque terminée et dans cette même réaction. Ce déplacement ne provoque pas d'attaque d'opportunité."
  }</v>
      </c>
    </row>
    <row r="364" spans="1:9">
      <c r="A364" s="75" t="s">
        <v>12</v>
      </c>
      <c r="B364" s="55" t="s">
        <v>3233</v>
      </c>
      <c r="C364" s="258" t="s">
        <v>3756</v>
      </c>
      <c r="D364" s="258"/>
      <c r="E364" s="258"/>
      <c r="F364" s="258"/>
      <c r="G364" s="18">
        <v>-1</v>
      </c>
      <c r="H364" s="261" t="s">
        <v>3757</v>
      </c>
      <c r="I364" t="str">
        <f t="shared" si="5"/>
        <v>"REVENGE-Âme vengeresse":  {
 "Code" : "Âme vengeresse",
 "Class" : "PALADIN",
 "Specialisation" : "REVENGE","UseNumber" : -1,
 "Description" : "À partir du niveau 15, l'autorité avec laquelle vous prononcez votre vœu d'inimitié vous donne plus de puissance contre votre adversaire. Quand la créature sous l'effet de votre vœu d'inimitié réalise une attaque, vous pouvez utiliser une réaction pour faire une attaque contre cette créature si elle est à portée."
  }</v>
      </c>
    </row>
    <row r="365" spans="1:9">
      <c r="A365" s="75" t="s">
        <v>12</v>
      </c>
      <c r="B365" s="55" t="s">
        <v>3233</v>
      </c>
      <c r="C365" s="258" t="s">
        <v>3758</v>
      </c>
      <c r="D365" s="258"/>
      <c r="E365" s="258"/>
      <c r="F365" s="258"/>
      <c r="G365" s="18">
        <v>-1</v>
      </c>
      <c r="H365" s="251" t="s">
        <v>3759</v>
      </c>
      <c r="I365" t="str">
        <f t="shared" si="5"/>
        <v>"REVENGE-Ange de la vengeance":  {
 "Code" : "Ange de la vengeance",
 "Class" : "PALADIN",
 "Specialisation" : "REVENGE","UseNumber" : -1,
 "Description" : "Au niveau 20, vous pouvez vous transformer en ange de la vengeance. En utilisant une action, vous subissez une transformation qui dure 1 heure. Pendant cette durée, vous gagnez les avantages suivants :  Des ailes poussent dans votre dos et vous confère une vitesse de vol de 18 mètres. Vous émettez une aura de menace de 9 mètres de rayon. La première fois qu'une créature rentre dans votre aura ou si elle y commence son tour pendant une bataille, la créature doit réussir un jet de sauvegarde de Sagesse ou être effrayée pendant 1 minute ou jusqu'à ce que la créature prenne des dégâts. Les jets d'attaque contre la créature effrayée bénéficient d'un avantage. Une fois cette capacité utilisée, vous devez terminer un repos long pour pouvoir l'utiliser de nouveau."
  }</v>
      </c>
    </row>
    <row r="366" spans="1:9">
      <c r="A366" s="264" t="s">
        <v>250</v>
      </c>
      <c r="B366" s="266"/>
      <c r="C366" s="259" t="s">
        <v>3760</v>
      </c>
      <c r="D366" s="259"/>
      <c r="E366" s="259"/>
      <c r="F366" s="259"/>
      <c r="G366" s="18">
        <v>-1</v>
      </c>
      <c r="H366" s="250" t="s">
        <v>3761</v>
      </c>
      <c r="I366" t="str">
        <f t="shared" si="5"/>
        <v>"PROWLER-Ennemi juré":  {
 "Code" : "Ennemi juré",
 "Class" : "PROWLER",
 "Specialisation" : "","UseNumber" : -1,
 "Description" : "À partir du niveau 1, vous avez des compétences significatives pour pister, chasser et même communiquer avec un certain type d'ennemi. Choisissez un type d'ennemi juré : aberrations, bêtes, célestes, créatures artificielles, créatures monstrueuses, dragons, élémentaires, fées, fiélons, géants, morts-vivants, plantes ou vases. Sinon, vous pouvez sélectionner deux races d’humanoïde (comme gnolls et orques) comme ennemis favoris. Vous avez un avantage aux jets de Sagesse (Survie) pour pister vos ennemis favoris, ainsi qu'aux jets d’Intelligence permettant de se rappeler des informations sur ceux-ci. Quand vous obtenez cette capacité, vous apprenez également une langue de votre choix qui est parlée par vos ennemis favoris, s’ils en parlent une.  Vous choisissez un ennemi juré supplémentaire, ainsi qu'un langage associé, aux niveaux 6 et 14. À ces niveaux, vos choix devraient refléter les types de monstres que vous avez rencontrés au cours de vos aventures."
  }</v>
      </c>
    </row>
    <row r="367" spans="1:9">
      <c r="A367" s="75" t="s">
        <v>250</v>
      </c>
      <c r="B367" s="55"/>
      <c r="C367" s="258" t="s">
        <v>2830</v>
      </c>
      <c r="D367" s="258" t="s">
        <v>2807</v>
      </c>
      <c r="E367" s="258"/>
      <c r="F367" s="258"/>
      <c r="G367" s="18"/>
      <c r="H367" s="251" t="s">
        <v>3902</v>
      </c>
      <c r="I367" t="str">
        <f t="shared" si="5"/>
        <v>"PROWLER-Style de combat":  {
 "Code" : "Style de combat",
 "Class" : "PROWLER",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v>
      </c>
    </row>
    <row r="368" spans="1:9">
      <c r="A368" s="75" t="s">
        <v>250</v>
      </c>
      <c r="B368" s="55"/>
      <c r="C368" s="258" t="s">
        <v>3219</v>
      </c>
      <c r="D368" s="258" t="s">
        <v>2807</v>
      </c>
      <c r="E368" s="258"/>
      <c r="F368" s="258"/>
      <c r="G368" s="18"/>
      <c r="H368" s="251" t="s">
        <v>3903</v>
      </c>
      <c r="I368" t="str">
        <f t="shared" si="5"/>
        <v>"PROWLER-Archétype de rôdeur":  {
 "Code" : "Archétype de rôdeur",
 "Class" : "PROWLER",
 "Specialisation" : "","Stats" : true,
 "Description" : "Au niveau 3, vous choisissez un archétype qui vous inspire : le chasseur ou le maître des bêtes, détaillé à la fin de la description de classe. Votre choix vous accorde des capacités aux niveaux 3, 7, 11 et niveau 15."
  }</v>
      </c>
    </row>
    <row r="369" spans="1:9">
      <c r="A369" s="75" t="s">
        <v>250</v>
      </c>
      <c r="B369" s="55"/>
      <c r="C369" s="258" t="s">
        <v>3762</v>
      </c>
      <c r="D369" s="258"/>
      <c r="E369" s="258"/>
      <c r="F369" s="258"/>
      <c r="G369" s="18">
        <v>-1</v>
      </c>
      <c r="H369" s="251" t="s">
        <v>3763</v>
      </c>
      <c r="I369" t="str">
        <f t="shared" si="5"/>
        <v>"PROWLER-Explorateur-né":  {
 "Code" : "Explorateur-né",
 "Class" : "PROWLER",
 "Specialisation" : "","UseNumber" : -1,
 "Description" : "Vous êtes particulièrement familier avec un type de milieu naturel et êtes apte à voyager et à survivre dans ces régions. Choisissez un type de terrain favori : arctique, désert, forêt, littoral, marais, montagne, plaine ou Outreterre. Lorsque vous faites un jet d’Intelligence ou de Sagesse lié à votre terrain favori, votre bonus de maîtrise est doublé si vous utilisez une compétence que vous maîtrisez.  Lors d'un voyage d'une heure ou plus dans votre terrain favori, vous obtenez les avantages suivants :  Le terrain difficile ne ralentit pas le voyage de votre groupe. Votre groupe ne peut pas se perdre, sauf par des moyens magiques. Même lorsque vous êtes engagé dans une autre activité tout en voyageant (comme la recherche de nourriture, la navigation ou le pistage), vous restez alerte face au danger. Si vous voyagez seul, vous pouvez vous déplacer furtivement à un rythme normal. Lorsque vous cherchez de la nourriture, vous en trouvez deux fois plus que normalement. Lorsque vous pistez d'autres créatures, vous découvrez aussi leur nombre exact, leurs tailles, et depuis combien de temps elles sont passées dans la zone. Vous choisissez un terrain favori supplémentaire aux niveaux 6 et 10."
  }</v>
      </c>
    </row>
    <row r="370" spans="1:9">
      <c r="A370" s="75" t="s">
        <v>250</v>
      </c>
      <c r="B370" s="55"/>
      <c r="C370" s="258" t="s">
        <v>3764</v>
      </c>
      <c r="D370" s="258"/>
      <c r="E370" s="258"/>
      <c r="F370" s="258"/>
      <c r="G370" s="18">
        <v>-1</v>
      </c>
      <c r="H370" s="260" t="s">
        <v>3765</v>
      </c>
      <c r="I370" t="str">
        <f t="shared" si="5"/>
        <v>"PROWLER-Sens primitifs":  {
 "Code" : "Sens primitifs",
 "Class" : "PROWLER",
 "Specialisation" : "","UseNumber" : -1,
 "Description" : "À partir du niveau 3, vous pouvez utiliser votre action et dépenser un emplacement de sort de rôdeur afin de concentrer votre attention sur la région autour de vous. Pour 1 minute par niveau d'emplacement de sort que vous dépensez, vous pouvez sentir si les types de créatures suivants sont présents à 1,5 kilomètre de vous (ou jusqu'à 9 kilomètres si vous êtes dans votre terrain favori) : aberrations, célestes, dragons, élémentaires, fées, démons et morts-vivants. Cette capacité ne révèle pas l'emplacement ou le nombre des créatures."
  }</v>
      </c>
    </row>
    <row r="371" spans="1:9">
      <c r="A371" s="75" t="s">
        <v>250</v>
      </c>
      <c r="B371" s="55"/>
      <c r="C371" s="258" t="s">
        <v>167</v>
      </c>
      <c r="D371" s="258"/>
      <c r="E371" s="258" t="s">
        <v>2807</v>
      </c>
      <c r="F371" s="258"/>
      <c r="G371" s="18"/>
      <c r="H371" s="260" t="s">
        <v>191</v>
      </c>
      <c r="I371" t="str">
        <f t="shared" si="5"/>
        <v>"PROWLER-Amélioration de caractéristiques":  {
 "Code" : "Amélioration de caractéristiques",
 "Class" : "PROWLER",
 "Specialisation" : "","Auto"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372" spans="1:9">
      <c r="A372" s="75" t="s">
        <v>250</v>
      </c>
      <c r="B372" s="55"/>
      <c r="C372" s="258" t="s">
        <v>194</v>
      </c>
      <c r="D372" s="258"/>
      <c r="E372" s="258"/>
      <c r="F372" s="258"/>
      <c r="G372" s="18">
        <v>-1</v>
      </c>
      <c r="H372" s="260" t="s">
        <v>3766</v>
      </c>
      <c r="I372" t="str">
        <f t="shared" si="5"/>
        <v>"PROWLER-Attaque supplémentaire":  {
 "Code" : "Attaque supplémentaire",
 "Class" : "PROWLER",
 "Specialisation" : "","UseNumber" : -1,
 "Description" : "À partir du niveau 5, vous pouvez attaquer deux fois, au lieu d'une seule, chaque fois que vous réalisez l’action Attaquer durant votre tour."
  }</v>
      </c>
    </row>
    <row r="373" spans="1:9">
      <c r="A373" s="75" t="s">
        <v>250</v>
      </c>
      <c r="B373" s="55"/>
      <c r="C373" s="258" t="s">
        <v>3491</v>
      </c>
      <c r="D373" s="258"/>
      <c r="E373" s="258"/>
      <c r="F373" s="258"/>
      <c r="G373" s="18">
        <v>-1</v>
      </c>
      <c r="H373" s="260" t="s">
        <v>3767</v>
      </c>
      <c r="I373" t="str">
        <f t="shared" si="5"/>
        <v>"PROWLER-Traversée des terrains":  {
 "Code" : "Traversée des terrains",
 "Class" : "PROWLER",
 "Specialisation" : "","UseNumber" : -1,
 "Description" : "À partir du niveau 8, se déplacer à travers un terrain difficile non magique ne vous coûte pas de mouvement supplémentaire. Vous pouvez également passer à travers des plantes non magiques sans être ralenti et sans subir de dégâts par leurs épines, ou un risque semblable. En outre, vous avez un avantage aux jets de sauvegarde contre les plantes qui sont créés ou manipulés par magie afin d’entraver les mouvements, comme celles créées par le sort enchevêtrement."
  }</v>
      </c>
    </row>
    <row r="374" spans="1:9">
      <c r="A374" s="75" t="s">
        <v>250</v>
      </c>
      <c r="B374" s="55"/>
      <c r="C374" s="258" t="s">
        <v>3768</v>
      </c>
      <c r="D374" s="258"/>
      <c r="E374" s="258"/>
      <c r="F374" s="258"/>
      <c r="G374" s="18">
        <v>-1</v>
      </c>
      <c r="H374" s="260" t="s">
        <v>3769</v>
      </c>
      <c r="I374" t="str">
        <f t="shared" si="5"/>
        <v>"PROWLER-Camouflage naturel":  {
 "Code" : "Camouflage naturel",
 "Class" : "PROWLER",
 "Specialisation" : "","UseNumber" : -1,
 "Description" : "À partir du niveau 10, vous pouvez passer 1 minute pour vous créer un camouflage. Vous devez avoir accès à de la boue fraîche, de la crasse, des plantes, de la suie et d'autres matériaux naturels avec lesquels vous pouvez créer votre camouflage. Une fois que vous êtes camouflé de cette façon, vous pouvez essayer de vous cacher en vous appuyant contre une surface solide, comme un arbre ou un mur, s'il est au moins aussi grand et aussi large que vous. Vous bénéficiez d'un bonus de +10 aux jets de Dextérité (Discrétion) aussi longtemps que vous restez sans bouger et sans effectuer d'actions. Une fois que vous vous déplacez ou prenez une action ou une réaction, vous devez vous camoufler à nouveau pour regagner cet avantage."
  }</v>
      </c>
    </row>
    <row r="375" spans="1:9">
      <c r="A375" s="75" t="s">
        <v>250</v>
      </c>
      <c r="B375" s="55"/>
      <c r="C375" s="258" t="s">
        <v>3770</v>
      </c>
      <c r="D375" s="258"/>
      <c r="E375" s="258"/>
      <c r="F375" s="258"/>
      <c r="G375" s="18">
        <v>-1</v>
      </c>
      <c r="H375" s="260" t="s">
        <v>3771</v>
      </c>
      <c r="I375" t="str">
        <f t="shared" si="5"/>
        <v>"PROWLER-Disparition":  {
 "Code" : "Disparition",
 "Class" : "PROWLER",
 "Specialisation" : "","UseNumber" : -1,
 "Description" : "À partir du niveau 14, vous pouvez utiliser l’action Se cacher en tant qu'action bonus à votre tour. En outre, vous ne pouvez pas être suivi par des moyens non magiques, sauf si vous choisissez de laisser une trace."
  }</v>
      </c>
    </row>
    <row r="376" spans="1:9">
      <c r="A376" s="75" t="s">
        <v>250</v>
      </c>
      <c r="B376" s="55"/>
      <c r="C376" s="258" t="s">
        <v>3772</v>
      </c>
      <c r="D376" s="258"/>
      <c r="E376" s="258"/>
      <c r="F376" s="258"/>
      <c r="G376" s="18">
        <v>-1</v>
      </c>
      <c r="H376" s="260" t="s">
        <v>3773</v>
      </c>
      <c r="I376" t="str">
        <f t="shared" si="5"/>
        <v>"PROWLER-Sens sauvages":  {
 "Code" : "Sens sauvages",
 "Class" : "PROWLER",
 "Specialisation" : "","UseNumber" : -1,
 "Description" : "Au niveau 18, vous gagnez un sens surnaturel qui vous aide à combattre les créatures que vous ne pouvez pas voir. Lorsque vous attaquez une créature que vous ne pouvez pas voir, votre incapacité à voir ne vous impose pas un désavantage à vos jets d'attaque contre elle. Vous êtes également au courant de l'emplacement d'une créature invisible dans un rayon de 9 mètres autour de vous, à condition que la créature ne se soit pas cachée vis-à-vis de vous et que vous ne soyez pas aveuglé ou assourdi."
  }</v>
      </c>
    </row>
    <row r="377" spans="1:9">
      <c r="A377" s="274" t="s">
        <v>250</v>
      </c>
      <c r="B377" s="270"/>
      <c r="C377" s="272" t="s">
        <v>3774</v>
      </c>
      <c r="D377" s="272"/>
      <c r="E377" s="272"/>
      <c r="F377" s="272"/>
      <c r="G377" s="18">
        <v>-1</v>
      </c>
      <c r="H377" s="273" t="s">
        <v>3775</v>
      </c>
      <c r="I377" t="str">
        <f t="shared" si="5"/>
        <v>"PROWLER-Tueur d'ennemis":  {
 "Code" : "Tueur d'ennemis",
 "Class" : "PROWLER",
 "Specialisation" : "","UseNumber" : -1,
 "Description" : "Au niveau 20, vous devenez un chasseur hors pair pour vos ennemis. Une fois à chacun de vos tours, vous pouvez ajouter votre modificateur de Sagesse au jet d'attaque ou de dégâts d'une attaque que vous effectuez contre l'un de vos ennemis favoris. Vous pouvez choisir d'utiliser cette capacité avant ou après le jet, mais avant que les effets du jet ne soient appliqués."
  }</v>
      </c>
    </row>
    <row r="378" spans="1:9">
      <c r="A378" s="75" t="s">
        <v>250</v>
      </c>
      <c r="B378" s="18" t="s">
        <v>3206</v>
      </c>
      <c r="C378" s="256" t="s">
        <v>3776</v>
      </c>
      <c r="D378" s="256"/>
      <c r="E378" s="256"/>
      <c r="F378" s="256"/>
      <c r="G378" s="18">
        <v>-1</v>
      </c>
      <c r="H378" s="280" t="s">
        <v>3777</v>
      </c>
      <c r="I378" t="str">
        <f t="shared" si="5"/>
        <v>"HUNTER-Proie du chasseur":  {
 "Code" : "Proie du chasseur",
 "Class" : "PROWLER",
 "Specialisation" : "HUNTER","UseNumber" : -1,
 "Description" : "Au niveau 3, vous gagnez l'une des capacités suivantes de votre choix.  Tueur de colosses. Votre ténacité peut user les ennemis les plus puissants. Quand vous touchez une créature lors d'une attaque avec une arme, la créature prend 1d8 dégâts supplémentaires si elle est sous ses points de vie maximums. Vous ne pouvez infliger ces dégâts supplémentaires qu'une fois par tour.  Tueur de géants. Quand une créature, de taille G ou supérieure et située à 1,50 mètre ou moins de vous, vous touche ou vous manque lors d'une attaque, vous pouvez utiliser votre réaction pour attaquer cette créature immédiatement après son attaque, à condition que vous puissiez voir la créature.  Briseur de horde. Une fois à chacun de vos tours, lorsque vous faites une attaque avec une arme, vous pouvez faire une autre attaque avec la même arme contre une créature différente qui se situe à 1,50 mètre ou moins de la cible initiale et à portée de votre arme."
  }</v>
      </c>
    </row>
    <row r="379" spans="1:9">
      <c r="A379" s="75" t="s">
        <v>250</v>
      </c>
      <c r="B379" s="18" t="s">
        <v>3206</v>
      </c>
      <c r="C379" s="256" t="s">
        <v>3778</v>
      </c>
      <c r="D379" s="256"/>
      <c r="E379" s="256"/>
      <c r="F379" s="256"/>
      <c r="G379" s="18">
        <v>-1</v>
      </c>
      <c r="H379" s="280" t="s">
        <v>3779</v>
      </c>
      <c r="I379" t="str">
        <f t="shared" si="5"/>
        <v>"HUNTER-Tactiques défensives":  {
 "Code" : "Tactiques défensives",
 "Class" : "PROWLER",
 "Specialisation" : "HUNTER","UseNumber" : -1,
 "Description" : "Au niveau 7, vous gagnez l'une des capacités suivantes de votre choix.  Échapper à la horde. Les attaques d'opportunité effectuées contre vous ont un désavantage.  Défense contre les attaques multiples. Quand une créature vous touche lors d'une attaque, vous gagnez un bonus de +4 à la CA contre toutes les attaques ultérieures effectuées par cette créature pour le reste du tour.  Moral d'acier. Vous avez un avantage aux jets de sauvegarde pour ne pas être effrayé."
  }</v>
      </c>
    </row>
    <row r="380" spans="1:9">
      <c r="A380" s="75" t="s">
        <v>250</v>
      </c>
      <c r="B380" s="18" t="s">
        <v>3206</v>
      </c>
      <c r="C380" s="256" t="s">
        <v>3780</v>
      </c>
      <c r="D380" s="256"/>
      <c r="E380" s="256"/>
      <c r="F380" s="256"/>
      <c r="G380" s="18">
        <v>-1</v>
      </c>
      <c r="H380" s="280" t="s">
        <v>3781</v>
      </c>
      <c r="I380" t="str">
        <f t="shared" si="5"/>
        <v>"HUNTER-Attaques multiples":  {
 "Code" : "Attaques multiples",
 "Class" : "PROWLER",
 "Specialisation" : "HUNTER","UseNumber" : -1,
 "Description" : "Au niveau 11, vous gagnez l'une des capacités suivantes de votre choix.  Salve. Vous pouvez utiliser votre action pour faire une attaque à distance contre n'importe quel nombre de créatures situées à 3 mètres ou moins d'un point que vous pouvez voir et à portée de votre arme. Vous devez avoir assez de munitions pour chaque cible, logiquement, et devez faire un jet d'attaque distinct pour chaque cible.  Attaque tourbillonnante. Vous pouvez utiliser votre action pour réaliser une attaque au corps à corps contre toutes les créatures à 1,50 mètre ou moins de vous, avec un jet d'attaque distinct pour chaque cible."
  }</v>
      </c>
    </row>
    <row r="381" spans="1:9">
      <c r="A381" s="274" t="s">
        <v>250</v>
      </c>
      <c r="B381" s="270" t="s">
        <v>3206</v>
      </c>
      <c r="C381" s="276" t="s">
        <v>3782</v>
      </c>
      <c r="D381" s="276"/>
      <c r="E381" s="276"/>
      <c r="F381" s="276"/>
      <c r="G381" s="18">
        <v>-1</v>
      </c>
      <c r="H381" s="283" t="s">
        <v>3783</v>
      </c>
      <c r="I381" t="str">
        <f t="shared" si="5"/>
        <v>"HUNTER-Défense du chasseur supérieure":  {
 "Code" : "Défense du chasseur supérieure",
 "Class" : "PROWLER",
 "Specialisation" : "HUNTER","UseNumber" : -1,
 "Description" : "Au niveau 15, vous gagnez l'une des capacités suivantes de votre choix.  Dérobade. Vous pouvez vous retirer prestement de la trajectoire de certaines zones d'effet, comme celles du souffle ardent d'un dragon rouge ou d'un sort de foudre. Lorsque vous êtes soumis à un effet qui vous permet de faire un jet de sauvegarde de Dextérité pour ne prendre que la moitié des dégâts, vous ne prenez à la place aucun dégât si vous réussissez le jet, et seulement la moitié des dégâts si vous échouez.  Retour de bâton. Quand une créature hostile vous manque lors d'une attaque au corps à corps, vous pouvez utiliser votre réaction pour forcer cette créature à répéter la même attaque contre une autre créature (autre qu'elle-même) de votre choix.  Esquive instinctive. Quand un attaquant que vous pouvez voir vous touche lors d'une attaque, vous pouvez utiliser votre réaction pour réduire de moitié les dégâts de l'attaque contre vous."
  }</v>
      </c>
    </row>
    <row r="382" spans="1:9">
      <c r="A382" s="75" t="s">
        <v>250</v>
      </c>
      <c r="B382" s="18" t="s">
        <v>3212</v>
      </c>
      <c r="C382" s="258" t="s">
        <v>3784</v>
      </c>
      <c r="D382" s="258"/>
      <c r="E382" s="258"/>
      <c r="F382" s="258"/>
      <c r="G382" s="18">
        <v>-1</v>
      </c>
      <c r="H382" s="251" t="s">
        <v>3785</v>
      </c>
      <c r="I382" t="str">
        <f t="shared" si="5"/>
        <v>"BEAST_MASTER-Compagnon du rôdeur":  {
 "Code" : "Compagnon du rôdeur",
 "Class" : "PROWLER",
 "Specialisation" : "BEAST_MASTER","UseNumber" : -1,
 "Description" : "Au niveau 3, vous gagnez un compagnon animal qui vous accompagne lors de vos aventures et qui est entraîné pour combattre à vos côtés. Choisissez une bête de taille M maximum et dont le facteur de puissance est de 1/4 ou moins (le bestiaire présente les caractéristiques du faucon, du molosse et de la panthère par exemple). Ajoutez votre bonus de maîtrise à la CA de la bête, à ses jets d'attaque et de dégâts, ainsi qu'aux jets de sauvegarde et de compétences qu'elle maîtrise. Son total de points de vie est égal à ses points de vie maximums normaux ou à quatre fois votre niveau de rôdeur (selon le plus haut des deux). Comme toute créature, le compagnon peut dépenser des dés de vie durant un repos court.  L'animal obéit à vos ordres du mieux qu'il peut. Son tour se déroule au même score d'initiative que vous. Lors de votre tour, vous pouvez ordonnez verbalement à votre animal de se déplacer vers où vous le souhaitez (ceci ne nécessitant aucune action de votre part). Vous pouvez utiliser votre action pour lui ordonner verbalement de réaliser les actions Attaquer, Aider, Foncer ou Se désengager. Si vous ne lui ordonnez rien, par défaut il prend l'action Esquiver. Une fois acquise la capacité d'Attaque supplémentaire, vous pouvez réaliser une attaque avec une arme tout en commandant à votre animal de réaliser l'action Attaquer. Si vous êtes absent ou incapable d'agir, la bête agit d'elle-même, vous protégeant et se protégeant en priorité. Elle n'a pas besoin d'être commandée pour utiliser sa réaction, comme pour effectuer une attaque d'opportunité par exemple.  Lorsque vous voyagez sur votre terrain favori avec votre bête pour unique compagnie, vous pouvez vous déplacer discrètement à votre rythme normal.  Si votre animal meurt, vous pouvez en obtenir un autre en passant 8 heures à vous lier par magie avec une autre bête qui n'est pas hostile envers vous, du même type que la précédente ou totalement différent."
  }</v>
      </c>
    </row>
    <row r="383" spans="1:9">
      <c r="A383" s="75" t="s">
        <v>250</v>
      </c>
      <c r="B383" s="18" t="s">
        <v>3212</v>
      </c>
      <c r="C383" s="258" t="s">
        <v>3786</v>
      </c>
      <c r="D383" s="258"/>
      <c r="E383" s="258"/>
      <c r="F383" s="258"/>
      <c r="G383" s="18">
        <v>-1</v>
      </c>
      <c r="H383" s="251" t="s">
        <v>3787</v>
      </c>
      <c r="I383" t="str">
        <f t="shared" si="5"/>
        <v>"BEAST_MASTER-Entraînement exceptionnel":  {
 "Code" : "Entraînement exceptionnel",
 "Class" : "PROWLER",
 "Specialisation" : "BEAST_MASTER","UseNumber" : -1,
 "Description" : "À partir du niveau 7, lorsque lors de votre tour votre compagnon animal n'attaque pas, vous pouvez utiliser votre action bonus pour ordonner à votre animal de réaliser l'action Aider, Foncer ou Se désengager lors de son tour. De plus, l'attaque du compagnon compte dorénavant comme étant magique pour ce qui est de la résistance et de l'immunité aux attaques et aux dégâts non magiques."
  }</v>
      </c>
    </row>
    <row r="384" spans="1:9">
      <c r="A384" s="75" t="s">
        <v>250</v>
      </c>
      <c r="B384" s="18" t="s">
        <v>3212</v>
      </c>
      <c r="C384" s="258" t="s">
        <v>3788</v>
      </c>
      <c r="D384" s="258"/>
      <c r="E384" s="258"/>
      <c r="F384" s="258"/>
      <c r="G384" s="18">
        <v>-1</v>
      </c>
      <c r="H384" s="261" t="s">
        <v>3789</v>
      </c>
      <c r="I384" t="str">
        <f t="shared" si="5"/>
        <v>"BEAST_MASTER-Fureur bestiale":  {
 "Code" : "Fureur bestiale",
 "Class" : "PROWLER",
 "Specialisation" : "BEAST_MASTER","UseNumber" : -1,
 "Description" : "À partir du niveau 11, lorsque vous ordonnez à votre compagnon animal d'effectuer l'action Attaquer, celui-ci peut attaquer deux fois ou prendre l'action Attaques multiples s'il la possède."
  }</v>
      </c>
    </row>
    <row r="385" spans="1:9">
      <c r="A385" s="179" t="s">
        <v>250</v>
      </c>
      <c r="B385" s="52" t="s">
        <v>3212</v>
      </c>
      <c r="C385" s="262" t="s">
        <v>3790</v>
      </c>
      <c r="D385" s="262"/>
      <c r="E385" s="262"/>
      <c r="F385" s="262"/>
      <c r="G385" s="18">
        <v>-1</v>
      </c>
      <c r="H385" s="263" t="s">
        <v>3791</v>
      </c>
      <c r="I385" t="str">
        <f t="shared" si="5"/>
        <v>"BEAST_MASTER-Partage des sorts":  {
 "Code" : "Partage des sorts",
 "Class" : "PROWLER",
 "Specialisation" : "BEAST_MASTER","UseNumber" : -1,
 "Description" : "À partir du niveau 15, lorsque vous lancez un sort vous prenant pour cible, vous pouvez aussi affecter votre compagnon animal avec le même sort si la bête se trouve à 9 mètres ou moins de vous."
  }</v>
      </c>
    </row>
    <row r="386" spans="1:9">
      <c r="A386" s="264" t="s">
        <v>251</v>
      </c>
      <c r="B386" s="161"/>
      <c r="C386" s="161" t="s">
        <v>3792</v>
      </c>
      <c r="D386" s="161" t="s">
        <v>2807</v>
      </c>
      <c r="E386" s="161"/>
      <c r="F386" s="161"/>
      <c r="G386" s="18"/>
      <c r="H386" s="250" t="s">
        <v>3793</v>
      </c>
      <c r="I386" t="str">
        <f t="shared" si="5"/>
        <v>"WILY-Expertise":  {
 "Code" : "Expertise",
 "Class" : "WILY",
 "Specialisation" : "","Stats" : true,
 "Description" : "Au niveau 1, choisissez deux des compétences que vous maîtrisez, ou l'une d'elles et votre maîtrise des outils de voleur. Votre bonus de maîtrise est doublé pour tout jet de caractéristique que vous réalisez et qui utilise l'une des compétences choisies.  Au niveau 6, vous pouvez choisir deux maîtrises supplémentaires (compétences ou outils de voleur) et obtenir le même avantage."
  }</v>
      </c>
    </row>
    <row r="387" spans="1:9">
      <c r="A387" s="75" t="s">
        <v>251</v>
      </c>
      <c r="B387" s="18"/>
      <c r="C387" s="55" t="s">
        <v>1000</v>
      </c>
      <c r="D387" s="18" t="s">
        <v>2807</v>
      </c>
      <c r="E387" s="18"/>
      <c r="F387" s="18"/>
      <c r="G387" s="18"/>
      <c r="H387" s="251" t="s">
        <v>3907</v>
      </c>
      <c r="I387" t="str">
        <f t="shared" ref="I387:I440" si="6">""""&amp;IF(ISBLANK(B387),A387,B387)&amp;"-"&amp;C387&amp;""":  {
 ""Code"" : """&amp;C387&amp;""",
 ""Class"" : """&amp;A387&amp;""",
 ""Specialisation"" : """&amp;B387&amp;""","
 &amp;IF(ISBLANK(D387),"", """Stats"" : "&amp;D387&amp;",")
 &amp;IF(ISBLANK(E387),"", """Auto"" : "&amp;E387&amp;",")
 &amp;IF(ISBLANK(G387),"", """UseNumber"" : "&amp;G387&amp;",")
 &amp;IF(ISBLANK(F387),"", """Special"" : "&amp;F387&amp;",")&amp;"
 ""Description"" : """&amp;SUBSTITUTE(H387,CHAR(10)," ")&amp;"""
  }"</f>
        <v>"WILY-Archétype de roublard":  {
 "Code" : "Archétype de roublard",
 "Class" : "WILY",
 "Specialisation" : "","Stats" : true,
 "Description" : "Au niveau 3, choisissez un archétype que vous émulez dans l'exercice de vos capacités de roublard. Votre archétype vous accorde des capacités spéciales au niveau 3 puis de nouvelles aux niveaux 9, 13 et 17. Voir Archétypes de roublard ci-dessous."
  }</v>
      </c>
    </row>
    <row r="388" spans="1:9">
      <c r="A388" s="75" t="s">
        <v>251</v>
      </c>
      <c r="B388" s="18"/>
      <c r="C388" s="55" t="s">
        <v>1010</v>
      </c>
      <c r="D388" s="55"/>
      <c r="E388" s="55"/>
      <c r="F388" s="55"/>
      <c r="G388" s="18">
        <v>-1</v>
      </c>
      <c r="H388" s="251" t="s">
        <v>3794</v>
      </c>
      <c r="I388" t="str">
        <f t="shared" si="6"/>
        <v>"WILY-Attaque sournoise":  {
 "Code" : "Attaque sournoise",
 "Class" : "WILY",
 "Specialisation" : "","UseNumber" : -1,
 "Description" : "À partir du niveau 1, vous savez comment trouver et exploiter subtilement la distraction d'un ennemi. Une fois par tour, vous pouvez infliger 1d6 points de dégâts supplémentaires à une créature que vous réussissez à toucher si vous avez un avantage au jet d'attaque. L'attaque doit utiliser une arme de finesse ou une arme à distance. Vous n'avez pas besoin d'avoir un avantage au jet d'attaque si un autre ennemi de la cible est à 1,50 mètre ou moins de celle-ci, que cet ennemi n'est pas incapable d'agir, et que vous n'avez pas un désavantage au jet d'attaque. Le nombre de dégâts supplémentaires augmente à mesure que vous gagnez des niveaux dans cette classe, comme indiqué dans la colonne Attaque sournoise de la table ci-dessus."
  }</v>
      </c>
    </row>
    <row r="389" spans="1:9">
      <c r="A389" s="75" t="s">
        <v>251</v>
      </c>
      <c r="B389" s="18"/>
      <c r="C389" s="55" t="s">
        <v>3795</v>
      </c>
      <c r="D389" s="55"/>
      <c r="E389" s="55"/>
      <c r="F389" s="55"/>
      <c r="G389" s="18">
        <v>-1</v>
      </c>
      <c r="H389" s="251" t="s">
        <v>3796</v>
      </c>
      <c r="I389" t="str">
        <f t="shared" si="6"/>
        <v>"WILY-Jargon des voleurs":  {
 "Code" : "Jargon des voleurs",
 "Class" : "WILY",
 "Specialisation" : "","UseNumber" : -1,
 "Description" : "Au cours de votre formation de roublard, vous avez appris le jargon des voleurs, un mélange secret de dialecte, de jargon et de codes, qui vous permet de cacher des messages dans une conversation apparemment normale. Seule une autre créature qui connaît le jargon des voleurs comprend ces messages. Il faut quatre fois plus de temps pour transmettre un tel message qu'il ne le faudrait pour transmettre la même idée clairement.  En outre, vous comprenez un ensemble de signes et de symboles secrets utilisés pour transmettre des messages courts et simples, comme pour indiquer qu'une zone est dangereuse ou qu'elle fait partie du territoire d'une guilde des voleurs, qu'un butin est à proximité, ou que les gens d'une région sont des proies faciles ou qu'ils fourniront une maison sûre pour des voleurs en fuite."
  }</v>
      </c>
    </row>
    <row r="390" spans="1:9">
      <c r="A390" s="75" t="s">
        <v>251</v>
      </c>
      <c r="B390" s="18"/>
      <c r="C390" s="55" t="s">
        <v>3797</v>
      </c>
      <c r="D390" s="55"/>
      <c r="E390" s="55"/>
      <c r="F390" s="55"/>
      <c r="G390" s="18">
        <v>-1</v>
      </c>
      <c r="H390" s="251" t="s">
        <v>3798</v>
      </c>
      <c r="I390" t="str">
        <f t="shared" si="6"/>
        <v>"WILY-Ruse":  {
 "Code" : "Ruse",
 "Class" : "WILY",
 "Specialisation" : "","UseNumber" : -1,
 "Description" : "À partir du niveau 2, votre vivacité d'esprit et votre agilité vous permettent de vous déplacer et d'agir rapidement. Vous pouvez effectuer une action bonus à chacun de vos tours en combat. Cette action ne peut être utilisée que pour Se désengager, Se cacher ou Foncer."
  }</v>
      </c>
    </row>
    <row r="391" spans="1:9">
      <c r="A391" s="75" t="s">
        <v>251</v>
      </c>
      <c r="B391" s="18"/>
      <c r="C391" s="55" t="s">
        <v>167</v>
      </c>
      <c r="D391" s="55" t="s">
        <v>2807</v>
      </c>
      <c r="E391" s="55"/>
      <c r="F391" s="55"/>
      <c r="G391" s="18"/>
      <c r="H391" s="251" t="s">
        <v>3799</v>
      </c>
      <c r="I391" t="str">
        <f t="shared" si="6"/>
        <v>"WILY-Amélioration de caractéristiques":  {
 "Code" : "Amélioration de caractéristiques",
 "Class" : "WILY",
 "Specialisation" : "","Stats" : true,
 "Description" : "Au niveau 4, puis par la suite aux niveaux 8, 10, 12, 16 et 19, vous pouvez augmenter une valeur de caractéristique de votre choix de +2, ou bien augmenter deux valeurs de caractéristique de votre choix de +1. Vous ne pouvez cependant pas augmenter une caractéristique au-delà de 20 par ce biais."
  }</v>
      </c>
    </row>
    <row r="392" spans="1:9">
      <c r="A392" s="75" t="s">
        <v>251</v>
      </c>
      <c r="B392" s="55"/>
      <c r="C392" s="55" t="s">
        <v>3800</v>
      </c>
      <c r="D392" s="55"/>
      <c r="E392" s="55"/>
      <c r="F392" s="55"/>
      <c r="G392" s="18">
        <v>-1</v>
      </c>
      <c r="H392" s="251" t="s">
        <v>3801</v>
      </c>
      <c r="I392" t="str">
        <f t="shared" si="6"/>
        <v>"WILY-Esquive instinctive":  {
 "Code" : "Esquive instinctive",
 "Class" : "WILY",
 "Specialisation" : "","UseNumber" : -1,
 "Description" : "À partir du niveau 5, quand un attaquant que vous pouvez voir vous touche avec une attaque, vous pouvez utiliser votre réaction pour réduire de moitié les dégâts de l'attaque contre vous."
  }</v>
      </c>
    </row>
    <row r="393" spans="1:9">
      <c r="A393" s="75" t="s">
        <v>251</v>
      </c>
      <c r="B393" s="55"/>
      <c r="C393" s="55" t="s">
        <v>199</v>
      </c>
      <c r="D393" s="55"/>
      <c r="E393" s="55"/>
      <c r="F393" s="55"/>
      <c r="G393" s="18">
        <v>-1</v>
      </c>
      <c r="H393" s="251" t="s">
        <v>3802</v>
      </c>
      <c r="I393" t="str">
        <f t="shared" si="6"/>
        <v>"WILY-Dérobade":  {
 "Code" : "Dérobade",
 "Class" : "WILY",
 "Specialisation" : "","UseNumber" : -1,
 "Description" : "À partir du niveau 7, vous pouvez esquiver certains effets de zone, tels le souffle ardent d'un dragon rouge ou un sort de tempête de glace. Lorsque vous êtes sujet à un effet qui vous permet de faire un jet de sauvegarde de Dextérité pour ne prendre que la moitié des dégâts, vous ne prenez aucun dégât si vous réussissez le jet de sauvegarde, et seulement la moitié des dégâts si vous échouez."
  }</v>
      </c>
    </row>
    <row r="394" spans="1:9">
      <c r="A394" s="75" t="s">
        <v>251</v>
      </c>
      <c r="B394" s="55"/>
      <c r="C394" s="55" t="s">
        <v>3803</v>
      </c>
      <c r="D394" s="55"/>
      <c r="E394" s="55"/>
      <c r="F394" s="55"/>
      <c r="G394" s="18">
        <v>-1</v>
      </c>
      <c r="H394" s="251" t="s">
        <v>3804</v>
      </c>
      <c r="I394" t="str">
        <f t="shared" si="6"/>
        <v>"WILY-Talent":  {
 "Code" : "Talent",
 "Class" : "WILY",
 "Specialisation" : "","UseNumber" : -1,
 "Description" : "À partir du niveau 11, les compétences que vous avez choisies sont si affinées qu'elles approchent la perfection. Chaque fois que vous faites un jet de caractéristique qui vous permet d'ajouter votre bonus de maîtrise, vous pouvez traiter un résultat au dé de 9 ou moins comme un 10."
  }</v>
      </c>
    </row>
    <row r="395" spans="1:9">
      <c r="A395" s="75" t="s">
        <v>251</v>
      </c>
      <c r="B395" s="55"/>
      <c r="C395" s="55" t="s">
        <v>3805</v>
      </c>
      <c r="D395" s="55"/>
      <c r="E395" s="55"/>
      <c r="F395" s="55"/>
      <c r="G395" s="18">
        <v>-1</v>
      </c>
      <c r="H395" s="251" t="s">
        <v>3806</v>
      </c>
      <c r="I395" t="str">
        <f t="shared" si="6"/>
        <v>"WILY-Ouïe fine":  {
 "Code" : "Ouïe fine",
 "Class" : "WILY",
 "Specialisation" : "","UseNumber" : -1,
 "Description" : "À partir du niveau 14, si vous êtes capable d'entendre, vous pouvez assumer l'emplacement de n'importe quelle créature cachée ou invisible à 3 mètres ou moins de vous."
  }</v>
      </c>
    </row>
    <row r="396" spans="1:9">
      <c r="A396" s="75" t="s">
        <v>251</v>
      </c>
      <c r="B396" s="55"/>
      <c r="C396" s="55" t="s">
        <v>1007</v>
      </c>
      <c r="D396" s="55"/>
      <c r="E396" s="55"/>
      <c r="F396" s="55"/>
      <c r="G396" s="18">
        <v>-1</v>
      </c>
      <c r="H396" s="251" t="s">
        <v>3807</v>
      </c>
      <c r="I396" t="str">
        <f t="shared" si="6"/>
        <v>"WILY-Esprit impénétrable":  {
 "Code" : "Esprit impénétrable",
 "Class" : "WILY",
 "Specialisation" : "","UseNumber" : -1,
 "Description" : "À partir du niveau 15, vous avez acquis une plus grande force mentale. Vous gagnez la maîtrise aux jets de sauvegarde de Sagesse."
  }</v>
      </c>
    </row>
    <row r="397" spans="1:9">
      <c r="A397" s="75" t="s">
        <v>251</v>
      </c>
      <c r="B397" s="55"/>
      <c r="C397" s="55" t="s">
        <v>3808</v>
      </c>
      <c r="D397" s="55"/>
      <c r="E397" s="55"/>
      <c r="F397" s="55"/>
      <c r="G397" s="18">
        <v>-1</v>
      </c>
      <c r="H397" s="251" t="s">
        <v>3809</v>
      </c>
      <c r="I397" t="str">
        <f t="shared" si="6"/>
        <v>"WILY-Insaisissable":  {
 "Code" : "Insaisissable",
 "Class" : "WILY",
 "Specialisation" : "","UseNumber" : -1,
 "Description" : "À partir du niveau 18, les attaquants gagnent rarement le dessus sur vous. Aucun jet d'attaque n'a d'avantage contre vous tant que vous n'êtes pas incapable d'agir."
  }</v>
      </c>
    </row>
    <row r="398" spans="1:9">
      <c r="A398" s="274" t="s">
        <v>251</v>
      </c>
      <c r="B398" s="275"/>
      <c r="C398" s="275" t="s">
        <v>3810</v>
      </c>
      <c r="D398" s="275"/>
      <c r="E398" s="275"/>
      <c r="F398" s="275"/>
      <c r="G398" s="18">
        <v>-1</v>
      </c>
      <c r="H398" s="271" t="s">
        <v>3811</v>
      </c>
      <c r="I398" t="str">
        <f t="shared" si="6"/>
        <v>"WILY-Coup de chance":  {
 "Code" : "Coup de chance",
 "Class" : "WILY",
 "Specialisation" : "","UseNumber" : -1,
 "Description" : "Au niveau 20, vous avez un talent surnaturel pour réussir quand vous en avez besoin. Si votre attaque échoue contre une cible à portée, vous pouvez transformer l'échec en succès. Ou bien si vous échouez à un jet de caractéristique, vous pouvez traiter le résultat du d20 comme un 20. Une fois cette capacité utilisée, vous devez terminer un repos court ou long pour pouvoir l'utiliser de nouveau."
  }</v>
      </c>
    </row>
    <row r="399" spans="1:9">
      <c r="A399" s="75" t="s">
        <v>251</v>
      </c>
      <c r="B399" s="55" t="s">
        <v>2909</v>
      </c>
      <c r="C399" s="55" t="s">
        <v>3333</v>
      </c>
      <c r="D399" s="55" t="s">
        <v>2807</v>
      </c>
      <c r="E399" s="55"/>
      <c r="F399" s="55"/>
      <c r="G399" s="18"/>
      <c r="H399" s="251" t="s">
        <v>3812</v>
      </c>
      <c r="I399" t="str">
        <f t="shared" si="6"/>
        <v>"ASSASSIN-Maîtrises supplémentaires":  {
 "Code" : "Maîtrises supplémentaires",
 "Class" : "WILY",
 "Specialisation" : "ASSASSIN","Stats" : true,
 "Description" : "Lorsque vous choisissez cet archétype au niveau 3, vous gagnez la maîtrise du kit de déguisement et du kit d'empoisonneur."
  }</v>
      </c>
    </row>
    <row r="400" spans="1:9">
      <c r="A400" s="75" t="s">
        <v>251</v>
      </c>
      <c r="B400" s="55" t="s">
        <v>2909</v>
      </c>
      <c r="C400" s="55" t="s">
        <v>3813</v>
      </c>
      <c r="D400" s="55"/>
      <c r="E400" s="55"/>
      <c r="F400" s="55"/>
      <c r="G400" s="18">
        <v>-1</v>
      </c>
      <c r="H400" s="251" t="s">
        <v>3814</v>
      </c>
      <c r="I400" t="str">
        <f t="shared" si="6"/>
        <v>"ASSASSIN-Assassinat":  {
 "Code" : "Assassinat",
 "Class" : "WILY",
 "Specialisation" : "ASSASSIN","UseNumber" : -1,
 "Description" : "À partir du niveau 3, vous êtes au summum de votre art lorsque vous prenez votre adversaire au dépourvu. Vous avez un avantage à vos jets d'attaque contre toute créature qui n'a pas encore joué son tour durant le combat. En outre, si vous attaquez et touchez une créature surprise, cette attaque est considérée comme un coup critique."
  }</v>
      </c>
    </row>
    <row r="401" spans="1:9">
      <c r="A401" s="75" t="s">
        <v>251</v>
      </c>
      <c r="B401" s="55" t="s">
        <v>2909</v>
      </c>
      <c r="C401" s="55" t="s">
        <v>3815</v>
      </c>
      <c r="D401" s="55"/>
      <c r="E401" s="55"/>
      <c r="F401" s="55"/>
      <c r="G401" s="18">
        <v>-1</v>
      </c>
      <c r="H401" s="251" t="s">
        <v>3816</v>
      </c>
      <c r="I401" t="str">
        <f t="shared" si="6"/>
        <v>"ASSASSIN-Expert en infiltration":  {
 "Code" : "Expert en infiltration",
 "Class" : "WILY",
 "Specialisation" : "ASSASSIN","UseNumber" : -1,
 "Description" : "À partir du niveau 9, vous pouvez créer de fausses identités pour vous-même. Vous devez passer une semaine et dépenser 25 po pour établir l'histoire, la profession et les affiliations d'une identité. Cependant, vous ne pouvez pas établir une identité qui appartient déjà à une personne existante. Par exemple, vous devriez vous procurer les vêtements adéquats, des lettres d'introduction et une certification paraissant officielle pour vous faire passer pour le membre d'une guilde d'une ville lointaine et ainsi vous infiltrer dans un cercle de marchands. Par la suite, si vous adoptez une nouvelle identité avec un déguisement, les autres créatures croiront que vous êtes cette personne jusqu'à ce qu'elles aient une bonne raison pour penser le contraire."
  }</v>
      </c>
    </row>
    <row r="402" spans="1:9">
      <c r="A402" s="75" t="s">
        <v>251</v>
      </c>
      <c r="B402" s="55" t="s">
        <v>2909</v>
      </c>
      <c r="C402" s="55" t="s">
        <v>3817</v>
      </c>
      <c r="D402" s="55"/>
      <c r="E402" s="55"/>
      <c r="F402" s="55"/>
      <c r="G402" s="18">
        <v>-1</v>
      </c>
      <c r="H402" s="251" t="s">
        <v>3818</v>
      </c>
      <c r="I402" t="str">
        <f t="shared" si="6"/>
        <v>"ASSASSIN-Imposteur":  {
 "Code" : "Imposteur",
 "Class" : "WILY",
 "Specialisation" : "ASSASSIN","UseNumber" : -1,
 "Description" : "À partir du niveau 13, vous gagnez la capacité d'imiter le discours, l'écriture et le comportement d'une autre personne avec une précision extraordinaire. Vous devez étudier pendant au moins trois heures ces trois aspects (écouter parler la personne, examiner son écriture ou observer ses manières). Votre ruse est indiscernable pour un observateur occasionnel. Si une créature suspecte que quelque chose ne va pas, vous avez un avantage à tous les jets de Charisme (Tromperie) que vous réalisez pour éviter d'être détecté."
  }</v>
      </c>
    </row>
    <row r="403" spans="1:9">
      <c r="A403" s="274" t="s">
        <v>251</v>
      </c>
      <c r="B403" s="275" t="s">
        <v>2909</v>
      </c>
      <c r="C403" s="275" t="s">
        <v>3819</v>
      </c>
      <c r="D403" s="275"/>
      <c r="E403" s="275"/>
      <c r="F403" s="275"/>
      <c r="G403" s="18">
        <v>-1</v>
      </c>
      <c r="H403" s="271" t="s">
        <v>3820</v>
      </c>
      <c r="I403" t="str">
        <f t="shared" si="6"/>
        <v>"ASSASSIN-Frappe mortelle":  {
 "Code" : "Frappe mortelle",
 "Class" : "WILY",
 "Specialisation" : "ASSASSIN","UseNumber" : -1,
 "Description" : "À partir du niveau 17, vous êtes un maître de la mort instantanée. Quand vous attaquez et touchez une créature qui est surprise, celle-ci doit réussir un jet de sauvegarde de Constitution DD 8 + votre modificateur de Dextérité + votre bonus de maîtrise. En cas d'échec, doublez les dégâts de l'attaque contre cette créature."
  }</v>
      </c>
    </row>
    <row r="404" spans="1:9">
      <c r="A404" s="75" t="s">
        <v>251</v>
      </c>
      <c r="B404" s="55" t="s">
        <v>2910</v>
      </c>
      <c r="C404" s="55" t="s">
        <v>3821</v>
      </c>
      <c r="D404" s="55"/>
      <c r="E404" s="55"/>
      <c r="F404" s="55"/>
      <c r="G404" s="18">
        <v>-1</v>
      </c>
      <c r="H404" s="251" t="s">
        <v>3822</v>
      </c>
      <c r="I404" t="str">
        <f t="shared" si="6"/>
        <v>"ROBBER-Mains lestes":  {
 "Code" : "Mains lestes",
 "Class" : "WILY",
 "Specialisation" : "ROBBER","UseNumber" : -1,
 "Description" : "À partir du niveau 3, vous pouvez utiliser l'action bonus accordée par votre Ruse pour réaliser un jet de Dextérité (Escamotage), utiliser vos outils de voleur pour désarmer un piège ou ouvrir une serrure, ou prendre l'action Utiliser un objet."
  }</v>
      </c>
    </row>
    <row r="405" spans="1:9">
      <c r="A405" s="75" t="s">
        <v>251</v>
      </c>
      <c r="B405" s="55" t="s">
        <v>2910</v>
      </c>
      <c r="C405" s="55" t="s">
        <v>3823</v>
      </c>
      <c r="D405" s="55"/>
      <c r="E405" s="55"/>
      <c r="F405" s="55"/>
      <c r="G405" s="18">
        <v>-1</v>
      </c>
      <c r="H405" s="251" t="s">
        <v>3824</v>
      </c>
      <c r="I405" t="str">
        <f t="shared" si="6"/>
        <v>"ROBBER-Monte-en-l'air":  {
 "Code" : "Monte-en-l'air",
 "Class" : "WILY",
 "Specialisation" : "ROBBER","UseNumber" : -1,
 "Description" : "À partir du niveau 3, vous gagnez la possibilité d'escalader plus vite que la normale ; escalader ne vous coûte aucun mouvement supplémentaire. En outre, lorsque vous effectuez un saut en longueur, la distance que vous pouvez couvrir augmente d'une distance égale à votre modificateur de Dextérité x 30 cm."
  }</v>
      </c>
    </row>
    <row r="406" spans="1:9">
      <c r="A406" s="75" t="s">
        <v>251</v>
      </c>
      <c r="B406" s="55" t="s">
        <v>2910</v>
      </c>
      <c r="C406" s="55" t="s">
        <v>3825</v>
      </c>
      <c r="D406" s="55"/>
      <c r="E406" s="55"/>
      <c r="F406" s="55"/>
      <c r="G406" s="18">
        <v>-1</v>
      </c>
      <c r="H406" s="251" t="s">
        <v>3826</v>
      </c>
      <c r="I406" t="str">
        <f t="shared" si="6"/>
        <v>"ROBBER-Discrétion suprême":  {
 "Code" : "Discrétion suprême",
 "Class" : "WILY",
 "Specialisation" : "ROBBER","UseNumber" : -1,
 "Description" : "À partir du niveau 9, vous avez un avantage à tous vos jets de Dextérité (Discrétion) si vous ne vous déplacez pas de plus de la moitié de votre vitesse durant le même tour."
  }</v>
      </c>
    </row>
    <row r="407" spans="1:9">
      <c r="A407" s="75" t="s">
        <v>251</v>
      </c>
      <c r="B407" s="55" t="s">
        <v>2910</v>
      </c>
      <c r="C407" s="55" t="s">
        <v>3827</v>
      </c>
      <c r="D407" s="55"/>
      <c r="E407" s="55"/>
      <c r="F407" s="55"/>
      <c r="G407" s="18">
        <v>-1</v>
      </c>
      <c r="H407" s="251" t="s">
        <v>3828</v>
      </c>
      <c r="I407" t="str">
        <f t="shared" si="6"/>
        <v>"ROBBER-Utilisation des objets magiques":  {
 "Code" : "Utilisation des objets magiques",
 "Class" : "WILY",
 "Specialisation" : "ROBBER","UseNumber" : -1,
 "Description" : "À partir du niveau 13, vous en savez assez sur le fonctionnement de la magie pour pouvoir utiliser des objets même s'ils ne vous sont pas destinés. Ignorez toutes les exigences de classe, de race et de niveau pour l'utilisation d'objets magiques."
  }</v>
      </c>
    </row>
    <row r="408" spans="1:9">
      <c r="A408" s="274" t="s">
        <v>251</v>
      </c>
      <c r="B408" s="275" t="s">
        <v>2910</v>
      </c>
      <c r="C408" s="275" t="s">
        <v>3829</v>
      </c>
      <c r="D408" s="275"/>
      <c r="E408" s="275"/>
      <c r="F408" s="275"/>
      <c r="G408" s="18">
        <v>-1</v>
      </c>
      <c r="H408" s="271" t="s">
        <v>3830</v>
      </c>
      <c r="I408" t="str">
        <f t="shared" si="6"/>
        <v>"ROBBER-Réflexes de voleur":  {
 "Code" : "Réflexes de voleur",
 "Class" : "WILY",
 "Specialisation" : "ROBBER","UseNumber" : -1,
 "Description" : "À partir du niveau 17, vous pouvez jouer deux tours lors du premier round d'un combat. Vous prenez votre premier tour suivant votre initiative normale et votre deuxième tour à votre initiative moins 10. Vous ne pouvez pas utiliser cette capacité si vous êtes surpris."
  }</v>
      </c>
    </row>
    <row r="409" spans="1:9">
      <c r="A409" s="75" t="s">
        <v>251</v>
      </c>
      <c r="B409" s="55" t="s">
        <v>2911</v>
      </c>
      <c r="C409" s="55" t="s">
        <v>3570</v>
      </c>
      <c r="D409" s="55" t="s">
        <v>2807</v>
      </c>
      <c r="E409" s="55"/>
      <c r="F409" s="55"/>
      <c r="G409" s="18"/>
      <c r="H409" s="251" t="s">
        <v>3831</v>
      </c>
      <c r="I409" t="str">
        <f t="shared" si="6"/>
        <v>"ARCANE_SWINDLER-Incantations":  {
 "Code" : "Incantations",
 "Class" : "WILY",
 "Specialisation" : "ARCANE_SWINDLER","Stats" : true,
 "Description" : "Lorsque vous atteignez le niveau 3, vous gagnez la possibilité de lancer des sorts.  Sorts mineurs. Vous apprenez trois sorts mineurs : main de mage et deux autres sorts mineurs de votre choix dans la liste de sorts de magicien. Vous apprenez un autre sort mineur de votre choix au niveau 10.  Emplacements de sorts. La table ci-dessous montre de combien d'emplacements de sorts vous disposez pour lancer vos sorts de magicien de niveau 1 et supérieur. Pour lancer un de ces sorts, vous devez dépenser un emplacement du niveau du sort ou supérieur. Vous regagnez tous les emplacements de sorts dépensés lorsque vous terminez un repos long. Par exemple, si vous connaissez le sort de niveau 1 charme-personne et qu'il vous reste un emplacement de niveau 1 et un emplacement de niveau 2, vous pouvez jeter deux fois ce sort.  Sorts connus du niveau 1 et supérieur. Vous connaissez trois sorts de magicien de niveau 1 de votre choix, dont deux que vous devez choisir dans les écoles d’enchantement ou d'illusion. La colonne Sorts connus indique à quel niveau vous apprenez plus de sorts de magicien de niveau 1 ou plus élevé. Chacun de ces sorts doit être de l’école d’enchantement ou d'illusion,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d’enchantement ou d'illusion, à moins que vous ne remplaciez le sort que vous avez acquis au niveau 8, 14 ou 20.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DD de sauvegarde des sorts = 8 + votre bonus de maîtrise + votre modificateur d'Intelligence Modificateur aux attaques avec un sort = votre bonus de maîtrise + votre modificateur d'Intelligence"
  }</v>
      </c>
    </row>
    <row r="410" spans="1:9">
      <c r="A410" s="75" t="s">
        <v>251</v>
      </c>
      <c r="B410" s="55" t="s">
        <v>2911</v>
      </c>
      <c r="C410" s="55" t="s">
        <v>3832</v>
      </c>
      <c r="D410" s="55"/>
      <c r="E410" s="55"/>
      <c r="F410" s="55"/>
      <c r="G410" s="18">
        <v>-1</v>
      </c>
      <c r="H410" s="251" t="s">
        <v>3833</v>
      </c>
      <c r="I410" t="str">
        <f t="shared" si="6"/>
        <v>"ARCANE_SWINDLER-Escamotage et main de mage":  {
 "Code" : "Escamotage et main de mage",
 "Class" : "WILY",
 "Specialisation" : "ARCANE_SWINDLER","UseNumber" : -1,
 "Description" : "À partir du niveau 3, lorsque vous lancez main de mage, vous pouvez rendre la main spectrale invisible, et vous pouvez effectuer les tâches supplémentaires suivantes avec celle-ci :  Vous pouvez ranger un objet que la main tient dans un contenant, porté ou transporté par une autre créature. Vous pouvez récupérer un objet dans un contenant, porté ou transporté par une autre créature. Vous pouvez utiliser des outils de voleur pour crocheter les serrures et pour désarmer les pièges à distance. Vous pouvez effectuer une de ces tâches sans vous faire remarquer par une créature si vous réussissez un jet de Dextérité (Escamotage) opposé à un jet de Sagesse (Perception) de la créature. En outre, vous pouvez utiliser l'action bonus accordé par votre Ruse pour contrôler la main."
  }</v>
      </c>
    </row>
    <row r="411" spans="1:9">
      <c r="A411" s="75" t="s">
        <v>251</v>
      </c>
      <c r="B411" s="55" t="s">
        <v>2911</v>
      </c>
      <c r="C411" s="55" t="s">
        <v>3834</v>
      </c>
      <c r="D411" s="55"/>
      <c r="E411" s="55"/>
      <c r="F411" s="55"/>
      <c r="G411" s="18">
        <v>-1</v>
      </c>
      <c r="H411" s="251" t="s">
        <v>3835</v>
      </c>
      <c r="I411" t="str">
        <f t="shared" si="6"/>
        <v>"ARCANE_SWINDLER-Embuscade magique":  {
 "Code" : "Embuscade magique",
 "Class" : "WILY",
 "Specialisation" : "ARCANE_SWINDLER","UseNumber" : -1,
 "Description" : "À partir du niveau 9, si vous êtes caché d'une créature quand vous lui lancez un sort, la créature a un désavantage à tous les jets de sauvegarde contre ce sort pendant ce tour."
  }</v>
      </c>
    </row>
    <row r="412" spans="1:9">
      <c r="A412" s="75" t="s">
        <v>251</v>
      </c>
      <c r="B412" s="55" t="s">
        <v>2911</v>
      </c>
      <c r="C412" s="55" t="s">
        <v>3836</v>
      </c>
      <c r="D412" s="55"/>
      <c r="E412" s="55"/>
      <c r="F412" s="55"/>
      <c r="G412" s="18">
        <v>-1</v>
      </c>
      <c r="H412" s="251" t="s">
        <v>3837</v>
      </c>
      <c r="I412" t="str">
        <f t="shared" si="6"/>
        <v>"ARCANE_SWINDLER-Escroc polyvalent":  {
 "Code" : "Escroc polyvalent",
 "Class" : "WILY",
 "Specialisation" : "ARCANE_SWINDLER","UseNumber" : -1,
 "Description" : "Au niveau 13, vous obtenez la possibilité de distraire les cibles avec la main de main de mage. Par une action bonus à votre tour, vous pouvez désigner une créature dans un rayon de 1,50 mètre autour de la main spectrale créé par le sort. Le faire vous donne un avantage aux jets d’attaque contre cette créature jusqu'à la fin du tour."
  }</v>
      </c>
    </row>
    <row r="413" spans="1:9">
      <c r="A413" s="274" t="s">
        <v>251</v>
      </c>
      <c r="B413" s="275" t="s">
        <v>2911</v>
      </c>
      <c r="C413" s="275" t="s">
        <v>3838</v>
      </c>
      <c r="D413" s="275"/>
      <c r="E413" s="275"/>
      <c r="F413" s="275"/>
      <c r="G413" s="18">
        <v>-1</v>
      </c>
      <c r="H413" s="271" t="s">
        <v>3839</v>
      </c>
      <c r="I413" t="str">
        <f t="shared" si="6"/>
        <v>"ARCANE_SWINDLER-Voleur de sorts":  {
 "Code" : "Voleur de sorts",
 "Class" : "WILY",
 "Specialisation" : "ARCANE_SWINDLER","UseNumber" : -1,
 "Description" : "Au niveau 17, vous gagnez la capacité de voler magiquement à un lanceur de sorts sa connaissance pour lancer un sort. Immédiatement après qu’une créature jette un sort qui vous cible ou vous inclut dans sa zone d'effet, vous pouvez utiliser votre réaction pour forcer la créature à faire un jet de sauvegarde avec le modificateur de sa caractéristique d'incantation. Le DD est égal à votre sort DD de sauvegarde contre les sorts. En cas d'échec, vous niez l'effet du sort contre vous, et vous volez la connaissance du sort s’il est au moins de niveau 1 et d'un niveau que vous pouvez lancer (le sort ne doit pas forcément être un sort de magicien). Pour les prochaines 8 heures, vous connaissez le sort et pouvez le lancer à l'aide de vos emplacements de sorts. La créature ne peut plus lancer ce sort jusqu'à ce que les 8 heures soient passées. Une fois que vous utilisez cette capacité, vous ne pouvez pas l'utiliser de nouveau jusqu'à ce que vous finissiez un repos long."
  }</v>
      </c>
    </row>
    <row r="414" spans="1:9">
      <c r="A414" s="75" t="s">
        <v>251</v>
      </c>
      <c r="B414" s="55" t="s">
        <v>2912</v>
      </c>
      <c r="C414" s="55" t="s">
        <v>3840</v>
      </c>
      <c r="D414" s="55"/>
      <c r="E414" s="55"/>
      <c r="F414" s="55"/>
      <c r="G414" s="18">
        <v>-1</v>
      </c>
      <c r="H414" s="251" t="s">
        <v>3841</v>
      </c>
      <c r="I414" t="str">
        <f t="shared" si="6"/>
        <v>"CONSPIRATOR-Maître des intrigues":  {
 "Code" : "Maître des intrigues",
 "Class" : "WILY",
 "Specialisation" : "CONSPIRATOR","UseNumber" : -1,
 "Description" : "Lorsque vous choisissez cet archétype au niveau 3, vous gagnez la maîtrise du kit de déguisement, du kit de contrefaçon et d'un type de jeu de votre choix. Vous apprenez également deux langues de votre choix. En outre, vous pouvez infailliblement imiter la tonalité de voix et l'accent d'une créature que vous entendez parler pendant au moins 1 minute, vous permettant de vous faire passer pour un locuteur natif d'une terre particulière, à condition de connaitre la langue."
  }</v>
      </c>
    </row>
    <row r="415" spans="1:9">
      <c r="A415" s="75" t="s">
        <v>251</v>
      </c>
      <c r="B415" s="55" t="s">
        <v>2912</v>
      </c>
      <c r="C415" s="55" t="s">
        <v>3842</v>
      </c>
      <c r="D415" s="55"/>
      <c r="E415" s="55"/>
      <c r="F415" s="55"/>
      <c r="G415" s="18">
        <v>-1</v>
      </c>
      <c r="H415" s="251" t="s">
        <v>3843</v>
      </c>
      <c r="I415" t="str">
        <f t="shared" si="6"/>
        <v>"CONSPIRATOR-Maître des tactiques":  {
 "Code" : "Maître des tactiques",
 "Class" : "WILY",
 "Specialisation" : "CONSPIRATOR","UseNumber" : -1,
 "Description" : "À partir du niveau 3, vous pouvez utiliser l'action Aider en tant qu'action bonus. En outre, lorsque vous utilisez l'action Aider pour aider un allié à attaquer une créature, la cible de cette attaque peut être dans un rayon de 9 mètres autour de vous, au lieu de 1,50 mètre, si la cible peut vous voir ou vous entendre."
  }</v>
      </c>
    </row>
    <row r="416" spans="1:9">
      <c r="A416" s="75" t="s">
        <v>251</v>
      </c>
      <c r="B416" s="55" t="s">
        <v>2912</v>
      </c>
      <c r="C416" s="55" t="s">
        <v>3844</v>
      </c>
      <c r="D416" s="55"/>
      <c r="E416" s="55"/>
      <c r="F416" s="55"/>
      <c r="G416" s="18">
        <v>-1</v>
      </c>
      <c r="H416" s="251" t="s">
        <v>3845</v>
      </c>
      <c r="I416" t="str">
        <f t="shared" si="6"/>
        <v>"CONSPIRATOR-Manipulateur perspicace":  {
 "Code" : "Manipulateur perspicace",
 "Class" : "WILY",
 "Specialisation" : "CONSPIRATOR","UseNumber" : -1,
 "Description" : "À partir du niveau 9, si vous passez au moins 1 minute à observer ou interagir avec une autre créature en dehors d'une situation de combat, vous pouvez apprendre certaines informations sur ses capacités par rapport aux vôtres. Le MD vous indique si la créature est votre égal, supérieur ou inférieur par rapport à deux des caractéristiques suivantes de votre choix :  Valeur d'Intelligence Valeur de Sagesse Valeur de Charisme Niveau de classe (le cas échéant) À la discrétion du MD, vous pouvez aussi réaliser que vous connaissez une part de l'histoire de la créature ou l'un de ses traits de personnalité, si elle en possède."
  }</v>
      </c>
    </row>
    <row r="417" spans="1:9">
      <c r="A417" s="75" t="s">
        <v>251</v>
      </c>
      <c r="B417" s="55" t="s">
        <v>2912</v>
      </c>
      <c r="C417" s="55" t="s">
        <v>3846</v>
      </c>
      <c r="D417" s="55"/>
      <c r="E417" s="55"/>
      <c r="F417" s="55"/>
      <c r="G417" s="18">
        <v>-1</v>
      </c>
      <c r="H417" s="251" t="s">
        <v>3847</v>
      </c>
      <c r="I417" t="str">
        <f t="shared" si="6"/>
        <v>"CONSPIRATOR-Redirection":  {
 "Code" : "Redirection",
 "Class" : "WILY",
 "Specialisation" : "CONSPIRATOR","UseNumber" : -1,
 "Description" : "À partir du niveau 13, vous pouvez parfois faire qu'une créature finisse par être la cible d'une attaque qui vous visait. Lorsque vous êtes ciblé par une attaque alors qu'une créature dans un rayon de 1,50 mètre autour de vous vous offre un abri contre cette attaque, vous pouvez utiliser votre réaction pour que la cible de l'attaque soit cette créature, à votre place."
  }</v>
      </c>
    </row>
    <row r="418" spans="1:9">
      <c r="A418" s="179" t="s">
        <v>251</v>
      </c>
      <c r="B418" s="182" t="s">
        <v>2912</v>
      </c>
      <c r="C418" s="52" t="s">
        <v>3848</v>
      </c>
      <c r="D418" s="52"/>
      <c r="E418" s="52"/>
      <c r="F418" s="52"/>
      <c r="G418" s="18">
        <v>-1</v>
      </c>
      <c r="H418" s="255" t="s">
        <v>3849</v>
      </c>
      <c r="I418" t="str">
        <f t="shared" si="6"/>
        <v>"CONSPIRATOR-Âme de trompeur":  {
 "Code" : "Âme de trompeur",
 "Class" : "WILY",
 "Specialisation" : "CONSPIRATOR","UseNumber" : -1,
 "Description" : "À partir du niveau 17, vos pensées ne peuvent être lues par télépathie ou par d'autres moyens, sauf si vous le permettez. Vous pouvez présenter de fausses pensées en faisant un jet de Charisme (Tromperie) opposé à un jet de Sagesse (Perspicacité) du lecteur de votre esprit. En outre, peu importe ce que vous dites, la magie qui permettrait de déterminer si vous dites la vérité indique que vous ne mentez pas, si vous le souhaitez, et vous ne pouvez pas être obligé de dire la vérité par magie."
  }</v>
      </c>
    </row>
    <row r="419" spans="1:9">
      <c r="A419" s="264" t="s">
        <v>248</v>
      </c>
      <c r="B419" s="161"/>
      <c r="C419" s="161" t="s">
        <v>3850</v>
      </c>
      <c r="D419" s="161"/>
      <c r="E419" s="161"/>
      <c r="F419" s="161"/>
      <c r="G419" s="18">
        <v>-1</v>
      </c>
      <c r="H419" s="250" t="s">
        <v>3851</v>
      </c>
      <c r="I419" t="str">
        <f t="shared" si="6"/>
        <v>"WIZARD-Faveur de pacte":  {
 "Code" : "Faveur de pacte",
 "Class" : "WIZARD",
 "Specialisation" : "","UseNumber" : -1,
 "Description" : "Au niveau 3, votre patron vous gratifie d’une aptitude pour votre loyauté. Vous gagnez une des capacités suivantes de votre choix.  Pacte de la Chaîne Vous apprenez le sort appel de familier et pouvez le lancer sous forme de rituel. Ce sort n’est pas comptabilisé comme un sort connu. Lorsque vous lancez le sort, vous pouvez choisir une forme normale pour votre familier (voir le sort) ou bien une des formes spéciales suivantes : esprit follet, diablotin, pseudodragon ou quasit.  En outre, quand vous choisissez l’action Attaquer, vous pouvez renoncer à une de vos attaques pour permettre à votre familier d’attaquer. Lorsque vous laissez votre familier attaquer, il le fait avec sa réaction.  Pacte de la Lame Vous pouvez utiliser une action pour créer une arme de pacte dans votre main libre. Vous pouvez choisir la forme que prend cette arme de corps à corps à chaque fois que vous la créez. Vous maîtrisez cette arme tant que vous la tenez en main. Cette arme est considérée comme magique au regard des résistances et des immunités aux attaques et aux dégâts non magiques.  Votre arme de pacte disparaît si elle se trouve à plus de 1,50 mètre de vous pendant une minute ou plus. Elle disparaît également si vous utilisez à nouveau cette aptitude, si vous congédiez l’arme ou si vous mourrez.  Vous pouvez transformer une arme magique pour en faire votre arme de pacte en effectuant un rituel spécial si vous tenez l’arme en main. Vous réalisez le rituel en 1 heure, ce qui peut être fait durant un repos court. Vous pouvez alors congédier l’arme, la déplaçant dans un espace extra dimensionnel, pour la faire réapparaître à chaque fois que vous créez votre arme de pacte par la suite. Vous ne pouvez affecter un artéfact ou une arme intelligente par ce procédé. Cette arme cesse d’être votre arme de pacte si vous mourrez, si vous vous liez avec une arme différente ou si vous réalisez le rituel de 1 heure pour briser le lien vous unissant à elle. L’arme apparaît alors à vos pieds si elle se trouve dans l’espace extra dimensionnel quand le lien est brisé.  Pacte du Grimoire Votre patron vous offre un grimoire appelé un Livre des Ombres. Dès lors que vous bénéficiez de cette capacité, choisissez trois sorts mineurs dans la liste de sorts de n'importe quelles classes. Tant que vous portez le grimoire sur vous, vous pouvez lancer ces sorts mineurs à volonté. Ils ne comptent pas dans votre nombre de sorts mineurs connus. Même s'ils ne sont pas sur la liste de sorts de sorcier, vous pouvez les considérer comme des sorts de sorcier.  Si vous perdez votre Livre des Ombres, vous pouvez réaliser une cérémonie de 1 heure pour en recevoir un nouveau de la part de votre patron. Cette cérémonie détruit le grimoire précédent et peut être réalisée durant un repos court ou long. Le grimoire se transforme en cendre quand vous mourrez.  Amélioration de caractéristiques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420" spans="1:9">
      <c r="A420" s="75" t="s">
        <v>248</v>
      </c>
      <c r="B420" s="18"/>
      <c r="C420" s="55" t="s">
        <v>2832</v>
      </c>
      <c r="D420" s="18" t="s">
        <v>2807</v>
      </c>
      <c r="E420" s="18"/>
      <c r="F420" s="18"/>
      <c r="G420" s="18"/>
      <c r="H420" s="251" t="s">
        <v>3948</v>
      </c>
      <c r="I420" t="str">
        <f t="shared" si="6"/>
        <v>"WIZARD-Patron d'Outremonde":  {
 "Code" : "Patron d'Outremonde",
 "Class" : "WIZARD",
 "Specialisation" : "","Stats" : true,
 "Description" : "Au niveau 1, vous avez conclu un marché avec un être d'Outremonde de votre choix : l'archifée, le fiélon ou le Grand Ancien. Celui-ci vous accorde des faveurs au niveau 1 puis aux niveaux 6, 10 et 14."
  }</v>
      </c>
    </row>
    <row r="421" spans="1:9">
      <c r="A421" s="75" t="s">
        <v>248</v>
      </c>
      <c r="B421" s="18"/>
      <c r="C421" s="55" t="s">
        <v>3949</v>
      </c>
      <c r="D421" s="18"/>
      <c r="E421" s="18"/>
      <c r="F421" s="18"/>
      <c r="G421" s="18">
        <v>-1</v>
      </c>
      <c r="H421" s="251" t="s">
        <v>3950</v>
      </c>
      <c r="I421" t="str">
        <f t="shared" si="6"/>
        <v>"WIZARD-Invocations occultes":  {
 "Code" : "Invocations occultes",
 "Class" : "WIZARD",
 "Specialisation" : "","UseNumber" : -1,
 "Description" : "Durant vos recherches, vous avez exhumé des invocations occultes, fragments d’un savoir interdit qui vous confère une capacité magique permanente.  Au niveau 2, vous gagnez deux invocations occultes de votre choix. Les invocations sont présentées à la fin de la description de cette classe. Lorsque vous gagnez certains niveaux de sorcier, vous gagnez d’autres invocations de votre choix, comme indiqué dans la table ci-dessus. En outre, lorsque vous gagnez un niveau dans cette classe, vous pouvez choisir de remplacer une invocation déjà connue par une autre que vous pouvez apprendre à ce niveau."
  }</v>
      </c>
    </row>
    <row r="422" spans="1:9">
      <c r="A422" s="75" t="s">
        <v>248</v>
      </c>
      <c r="B422" s="18"/>
      <c r="C422" s="55" t="s">
        <v>3951</v>
      </c>
      <c r="D422" s="18"/>
      <c r="E422" s="18"/>
      <c r="F422" s="18"/>
      <c r="G422" s="18">
        <v>-1</v>
      </c>
      <c r="H422" s="251" t="s">
        <v>3952</v>
      </c>
      <c r="I422" t="str">
        <f t="shared" si="6"/>
        <v>"WIZARD-Magie de pacte":  {
 "Code" : "Magie de pacte",
 "Class" : "WIZARD",
 "Specialisation" : "","UseNumber" : -1,
 "Description" : "Vos recherches arcaniques et la magie qui vous est conférée par votre patron vous ont donné des facilités avec les sorts."
  }</v>
      </c>
    </row>
    <row r="423" spans="1:9">
      <c r="A423" s="75" t="s">
        <v>248</v>
      </c>
      <c r="B423" s="18"/>
      <c r="C423" s="55" t="s">
        <v>167</v>
      </c>
      <c r="D423" s="55" t="s">
        <v>2807</v>
      </c>
      <c r="E423" s="55"/>
      <c r="F423" s="55"/>
      <c r="G423" s="18"/>
      <c r="H423" s="251" t="s">
        <v>191</v>
      </c>
      <c r="I423" t="str">
        <f t="shared" si="6"/>
        <v>"WIZARD-Amélioration de caractéristiques":  {
 "Code" : "Amélioration de caractéristiques",
 "Class" : "WIZARD",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424" spans="1:9">
      <c r="A424" s="75" t="s">
        <v>248</v>
      </c>
      <c r="B424" s="18"/>
      <c r="C424" s="55" t="s">
        <v>3852</v>
      </c>
      <c r="D424" s="55" t="s">
        <v>2807</v>
      </c>
      <c r="E424" s="55"/>
      <c r="F424" s="55"/>
      <c r="G424" s="18"/>
      <c r="H424" s="280" t="s">
        <v>3853</v>
      </c>
      <c r="I424" t="str">
        <f t="shared" si="6"/>
        <v>"WIZARD-Arcanum mystique":  {
 "Code" : "Arcanum mystique",
 "Class" : "WIZARD",
 "Specialisation" : "","Stats" : true,
 "Description" : "Au niveau 11, votre patron vous gratifie d’un secret magique appelé Arcanum. Choisissez un sort de niveau 6 dans la liste du sorcier, lequel sera votre Arcanum. Vous pouvez lancer votre Arcanum une fois sans utiliser un emplacement de sort. Vous ne pouvez le lancer de nouveau avant d’avoir terminé un repos long.  Aux niveaux supérieurs, vous bénéficiez d’autres sorts de sorcier de votre choix qui peuvent être utilisés de cette façon : un sort de niveau 7 au niveau 13, un sort de niveau 8 au niveau 15 et un sort de niveau 9 au niveau 17. Vous regagnez l’usage de tous vos Arcanums après un repos long."
  }</v>
      </c>
    </row>
    <row r="425" spans="1:9">
      <c r="A425" s="274" t="s">
        <v>248</v>
      </c>
      <c r="B425" s="270"/>
      <c r="C425" s="275" t="s">
        <v>3854</v>
      </c>
      <c r="D425" s="275"/>
      <c r="E425" s="275"/>
      <c r="F425" s="275"/>
      <c r="G425" s="18">
        <v>-1</v>
      </c>
      <c r="H425" s="271" t="s">
        <v>3855</v>
      </c>
      <c r="I425" t="str">
        <f t="shared" si="6"/>
        <v>"WIZARD-Maître de l'occulte":  {
 "Code" : "Maître de l'occulte",
 "Class" : "WIZARD",
 "Specialisation" : "","UseNumber" : -1,
 "Description" : "Au niveau 20, vous pouvez puiser dans vos réserves mystiques internes pour supplier votre patron afin de récupérer vos emplacements de sorts dépensés. Vous pouvez passer 1 minute à supplier votre patron pour regagner tous vos emplacements de sorts dépensés de votre Magie de pacte. Une fois que vous avez récupéré les emplacements de sorts par ce biais, vous devez terminer un repos long avant de pouvoir le refaire."
  }</v>
      </c>
    </row>
    <row r="426" spans="1:9">
      <c r="A426" s="75" t="s">
        <v>248</v>
      </c>
      <c r="B426" s="18" t="s">
        <v>2916</v>
      </c>
      <c r="C426" s="55" t="s">
        <v>3856</v>
      </c>
      <c r="D426" s="55" t="s">
        <v>2807</v>
      </c>
      <c r="E426" s="55"/>
      <c r="F426" s="55"/>
      <c r="G426" s="18"/>
      <c r="H426" s="280" t="s">
        <v>3857</v>
      </c>
      <c r="I426" t="str">
        <f t="shared" si="6"/>
        <v>"ARCHFAIRY-Liste de sorts étendue":  {
 "Code" : "Liste de sorts étendue",
 "Class" : "WIZARD",
 "Specialisation" : "ARCHFAIRY","Stats" : true,
 "Description" : "L'archifée vous permet de choisir parmi une liste étendue de sorts lorsque vous apprenez un sort de sorcier. Vous ajoutez les sorts suivants à la liste de sorts de sorcier.  Niveau de sort	Sorts 1	            lueurs féeriques, sommeil 2	            apaisement des émotions, force fantasmagorique 3	            clignotement, croissance végétale 4	            domination de bête, invisibilité supérieure 5	            apparence trompeuse, domination d'humanoïde"
  }</v>
      </c>
    </row>
    <row r="427" spans="1:9">
      <c r="A427" s="75" t="s">
        <v>248</v>
      </c>
      <c r="B427" s="18" t="s">
        <v>2916</v>
      </c>
      <c r="C427" s="55" t="s">
        <v>3858</v>
      </c>
      <c r="D427" s="55"/>
      <c r="E427" s="55"/>
      <c r="F427" s="55"/>
      <c r="G427" s="18">
        <v>-1</v>
      </c>
      <c r="H427" s="251" t="s">
        <v>3859</v>
      </c>
      <c r="I427" t="str">
        <f t="shared" si="6"/>
        <v>"ARCHFAIRY-Présence féerique":  {
 "Code" : "Présence féerique",
 "Class" : "WIZARD",
 "Specialisation" : "ARCHFAIRY","UseNumber" : -1,
 "Description" : "À partir du niveau 1, votre patron vous donne la capacité de projeter la séduisante et redoutable présence des fées. Par une action, vous pouvez obliger toute créature dans un cube de 3 mètres prenant origine à partir de vous-même à réaliser un jet de sauvegarde de Sagesse contre le DD de vos sorts de sorcier. Vous charmez ou effrayez (selon votre choix) les créatures qui ratent leur jet de sauvegarde jusqu'à la fin de votre prochain tour. Une fois que vous avez utilisé cette capacité, vous ne pouvez pas l'utiliser à nouveau jusqu'à ce que vous terminiez un repos court ou long."
  }</v>
      </c>
    </row>
    <row r="428" spans="1:9">
      <c r="A428" s="75" t="s">
        <v>248</v>
      </c>
      <c r="B428" s="18" t="s">
        <v>2916</v>
      </c>
      <c r="C428" s="55" t="s">
        <v>3860</v>
      </c>
      <c r="D428" s="55"/>
      <c r="E428" s="55"/>
      <c r="F428" s="55"/>
      <c r="G428" s="18">
        <v>-1</v>
      </c>
      <c r="H428" s="251" t="s">
        <v>3861</v>
      </c>
      <c r="I428" t="str">
        <f t="shared" si="6"/>
        <v>"ARCHFAIRY-Échappatoire brumeuse":  {
 "Code" : "Échappatoire brumeuse",
 "Class" : "WIZARD",
 "Specialisation" : "ARCHFAIRY","UseNumber" : -1,
 "Description" : "À partir du niveau 6, vous pouvez disparaître dans un nuage de brume en réponse à un préjudice. Lorsque vous subissez des dégâts, vous pouvez utiliser votre réaction pour devenir invisible et vous téléporter jusqu'à 18 mètres dans un espace inoccupé que vous pouvez voir. Vous restez invisible jusqu'au début de votre prochain tour ou jusqu'à ce que vous attaquiez ou lanciez un sort. Une fois que vous avez utilisé cette capacité, vous ne pouvez pas l'utiliser à nouveau jusqu'à ce que vous terminiez un repos court ou long."
  }</v>
      </c>
    </row>
    <row r="429" spans="1:9">
      <c r="A429" s="75" t="s">
        <v>248</v>
      </c>
      <c r="B429" s="18" t="s">
        <v>2916</v>
      </c>
      <c r="C429" s="55" t="s">
        <v>3862</v>
      </c>
      <c r="D429" s="55"/>
      <c r="E429" s="55"/>
      <c r="F429" s="55"/>
      <c r="G429" s="18">
        <v>-1</v>
      </c>
      <c r="H429" s="251" t="s">
        <v>3863</v>
      </c>
      <c r="I429" t="str">
        <f t="shared" si="6"/>
        <v>"ARCHFAIRY-Défenses séduisantes":  {
 "Code" : "Défenses séduisantes",
 "Class" : "WIZARD",
 "Specialisation" : "ARCHFAIRY","UseNumber" : -1,
 "Description" : "À partir du niveau 10, votre patron vous enseigne à retourner contre eux la magie de vos ennemis qui affecte l'esprit. Vous êtes immunisé aux charmes, et lorsqu'une créature tente de vous charmer, vous pouvez utiliser votre réaction pour tenter de retourner son charme contre elle. La créature doit réussir un jet de sauvegarde de Sagesse contre le DD de vos sorts de sorcier, ou vous la charmez pendant 1 minute ou jusqu'à ce que la créature subisse des dégâts."
  }</v>
      </c>
    </row>
    <row r="430" spans="1:9">
      <c r="A430" s="274" t="s">
        <v>248</v>
      </c>
      <c r="B430" s="270" t="s">
        <v>2916</v>
      </c>
      <c r="C430" s="275" t="s">
        <v>3864</v>
      </c>
      <c r="D430" s="275"/>
      <c r="E430" s="275"/>
      <c r="F430" s="275"/>
      <c r="G430" s="18">
        <v>-1</v>
      </c>
      <c r="H430" s="271" t="s">
        <v>3865</v>
      </c>
      <c r="I430" t="str">
        <f t="shared" si="6"/>
        <v>"ARCHFAIRY-Sombre délire":  {
 "Code" : "Sombre délire",
 "Class" : "WIZARD",
 "Specialisation" : "ARCHFAIRY","UseNumber" : -1,
 "Description" : "À partir du niveau 14, vous pouvez plonger une créature dans un univers illusoire. Par une action, choisissez une créature que vous pouvez voir dans un rayon de 18 mètres autour de vous. Celle-ci doit réaliser un jet de protection de Sagesse contre le DD de vos sorts de sorcier. En cas d'échec, vous la charmez ou l'effrayez (selon votee choix) pendant 1 minute ou jusqu'à ce que votre concentration soit brisée (comme si vous vous concentriez sur un sort). Cet effet se termine plus tôt si la créature subit des dégâts. Jusqu'à ce que cette illusion se termine, la créature pense qu'elle est perdue dans un royaume brumeux dont vous choississez l'apparence. La créature ne peut voir et entendre qu'elle-même, vous, et l'illusion. Vous devez terminer un repos court ou long avant de pouvoir utiliser cette capacité de nouveau."
  }</v>
      </c>
    </row>
    <row r="431" spans="1:9">
      <c r="A431" s="75" t="s">
        <v>248</v>
      </c>
      <c r="B431" s="18" t="s">
        <v>2917</v>
      </c>
      <c r="C431" s="55" t="s">
        <v>3856</v>
      </c>
      <c r="D431" s="55"/>
      <c r="E431" s="55"/>
      <c r="F431" s="55"/>
      <c r="G431" s="18">
        <v>-1</v>
      </c>
      <c r="H431" s="280" t="s">
        <v>3866</v>
      </c>
      <c r="I431" t="str">
        <f t="shared" si="6"/>
        <v>"FIENDISH-Liste de sorts étendue":  {
 "Code" : "Liste de sorts étendue",
 "Class" : "WIZARD",
 "Specialisation" : "FIENDISH","UseNumber" : -1,
 "Description" : "Le fiélon vous permet de choisir parmi une liste étendue de sorts lorsque vous apprenez un sort de sorcier. Vous ajoutez les sorts suivants à la liste de sorts de sorcier.  Niveau de sort	Sorts 1	            injonction, mains brûlantes 2	            cécité/surdité, rayon ardent 3	            boule de feu, nuage puant 4	            bouclier de feu, mur de feu 5	            colonne de flamme, sanctification"
  }</v>
      </c>
    </row>
    <row r="432" spans="1:9">
      <c r="A432" s="75" t="s">
        <v>248</v>
      </c>
      <c r="B432" s="18" t="s">
        <v>2917</v>
      </c>
      <c r="C432" s="55" t="s">
        <v>3867</v>
      </c>
      <c r="D432" s="55"/>
      <c r="E432" s="55"/>
      <c r="F432" s="55"/>
      <c r="G432" s="18">
        <v>-1</v>
      </c>
      <c r="H432" s="251" t="s">
        <v>3868</v>
      </c>
      <c r="I432" t="str">
        <f t="shared" si="6"/>
        <v>"FIENDISH-Bénédiction du ténébreux":  {
 "Code" : "Bénédiction du ténébreux",
 "Class" : "WIZARD",
 "Specialisation" : "FIENDISH","UseNumber" : -1,
 "Description" : "À partir du niveau 1, lorsque vous réduisez une créature hostile à 0 point de vie, vous gagnez un nombre de points de vie temporaires égal à votre modificateur de Charisme + votre niveau de sorcier (minimum 1)."
  }</v>
      </c>
    </row>
    <row r="433" spans="1:9">
      <c r="A433" s="75" t="s">
        <v>248</v>
      </c>
      <c r="B433" s="18" t="s">
        <v>2917</v>
      </c>
      <c r="C433" s="55" t="s">
        <v>3869</v>
      </c>
      <c r="D433" s="55"/>
      <c r="E433" s="55"/>
      <c r="F433" s="55"/>
      <c r="G433" s="18">
        <v>-1</v>
      </c>
      <c r="H433" s="251" t="s">
        <v>3870</v>
      </c>
      <c r="I433" t="str">
        <f t="shared" si="6"/>
        <v>"FIENDISH-Chance du ténébreux":  {
 "Code" : "Chance du ténébreux",
 "Class" : "WIZARD",
 "Specialisation" : "FIENDISH","UseNumber" : -1,
 "Description" : "À partir du niveau 6, vous pouvez appeler votre patron afin qu'il modifie le sort en votre faveur. Lorsque vous effectuez un jet de caractéristique ou un jet de sauvegarde, vous pouvez utiliser cette capacité pour ajouter un d10 à votre jet. Vous pouvez décider de le faire après avoir lancé le dé initial, mais la décision doit être prise avant que l'effet ne se produise. Une fois que vous avez utilisé cette capacité, vous ne pouvez pas l'utiliser à nouveau jusqu'à ce que vous terminiez un repos court ou long."
  }</v>
      </c>
    </row>
    <row r="434" spans="1:9">
      <c r="A434" s="75" t="s">
        <v>248</v>
      </c>
      <c r="B434" s="18" t="s">
        <v>2917</v>
      </c>
      <c r="C434" s="55" t="s">
        <v>3871</v>
      </c>
      <c r="D434" s="55"/>
      <c r="E434" s="55"/>
      <c r="F434" s="55"/>
      <c r="G434" s="18">
        <v>-1</v>
      </c>
      <c r="H434" s="251" t="s">
        <v>3872</v>
      </c>
      <c r="I434" t="str">
        <f t="shared" si="6"/>
        <v>"FIENDISH-Résistance fiélonne":  {
 "Code" : "Résistance fiélonne",
 "Class" : "WIZARD",
 "Specialisation" : "FIENDISH","UseNumber" : -1,
 "Description" : "À partir du niveau 10, vous pouvez choisir un type de dégâts lorsque vous terminez un repos court ou long. Vous gagnez alors la résistance à ce type de dégâts jusqu'à ce que vous en choisissiez un autre grâce à cette capacité. Les dégâts causés par des armes magiques ou des armes en argent ignorent cette résistance."
  }</v>
      </c>
    </row>
    <row r="435" spans="1:9">
      <c r="A435" s="274" t="s">
        <v>248</v>
      </c>
      <c r="B435" s="270" t="s">
        <v>2917</v>
      </c>
      <c r="C435" s="275" t="s">
        <v>3873</v>
      </c>
      <c r="D435" s="275"/>
      <c r="E435" s="275"/>
      <c r="F435" s="275"/>
      <c r="G435" s="18">
        <v>-1</v>
      </c>
      <c r="H435" s="271" t="s">
        <v>3874</v>
      </c>
      <c r="I435" t="str">
        <f t="shared" si="6"/>
        <v>"FIENDISH-Traversée des enfers":  {
 "Code" : "Traversée des enfers",
 "Class" : "WIZARD",
 "Specialisation" : "FIENDISH","UseNumber" : -1,
 "Description" : "À partir du niveau 14, lorsque vous touchez une créature avec une attaque, vous pouvez utiliser cette capacité pour transporter instantanément la cible vers les plans inférieurs. La créature disparaît et passe par un paysage de cauchemar. À la fin de votre prochain tour, la cible revient dans l'espace qu'elle occupait précédemment, ou dans l'espace libre le plus proche. Si la cible n'est pas un fiélon, elle prend 10d10 dégâts psychiques lorsqu'elle revient de son horrible expérience. Une fois que vous avez utilisé cette capacité, vous ne pouvez pas l'utiliser à nouveau jusqu'à ce que vous terminiez un repos long."
  }</v>
      </c>
    </row>
    <row r="436" spans="1:9">
      <c r="A436" s="75" t="s">
        <v>248</v>
      </c>
      <c r="B436" s="18" t="s">
        <v>2918</v>
      </c>
      <c r="C436" s="55" t="s">
        <v>3856</v>
      </c>
      <c r="D436" s="55"/>
      <c r="E436" s="55"/>
      <c r="F436" s="55"/>
      <c r="G436" s="18">
        <v>-1</v>
      </c>
      <c r="H436" s="280" t="s">
        <v>3875</v>
      </c>
      <c r="I436" t="str">
        <f t="shared" si="6"/>
        <v>"GREAT_OLD-Liste de sorts étendue":  {
 "Code" : "Liste de sorts étendue",
 "Class" : "WIZARD",
 "Specialisation" : "GREAT_OLD","UseNumber" : -1,
 "Description" : "Le Grand Ancien vous permet de choisir parmi une liste étendue de sorts lorsque vous apprenez un sort de sorcier. Vous ajoutez les sorts suivants à la liste de sorts de sorcier.  Niveau de sort	Sorts 1	            fou rire de Tasha, murmures dissonants 2	            détection des pensées, force fantasmagorique 3	            clairvoyance, communication à distance 4	            domination de bête, tentacules noirs d'Evard 5	            domination d'humanoïde, télékinésie"
  }</v>
      </c>
    </row>
    <row r="437" spans="1:9">
      <c r="A437" s="75" t="s">
        <v>248</v>
      </c>
      <c r="B437" s="18" t="s">
        <v>2918</v>
      </c>
      <c r="C437" s="55" t="s">
        <v>3876</v>
      </c>
      <c r="D437" s="55"/>
      <c r="E437" s="55"/>
      <c r="F437" s="55"/>
      <c r="G437" s="18">
        <v>-1</v>
      </c>
      <c r="H437" s="251" t="s">
        <v>3877</v>
      </c>
      <c r="I437" t="str">
        <f t="shared" si="6"/>
        <v>"GREAT_OLD-Esprit éveillé":  {
 "Code" : "Esprit éveillé",
 "Class" : "WIZARD",
 "Specialisation" : "GREAT_OLD","UseNumber" : -1,
 "Description" : "À partir du niveau 1, votre connaissance extraterrestre vous donne la possibilité de toucher les esprits d'autres créatures. Vous pouvez parler télépathiquement à toute créature que vous pouvez voir dans un rayon de 9 mètres autour de vous. Vous n'avez pas besoin de partager une langue avec la créature pour qu'elle comprenne vos paroles télépathiques, mais la créature doit être capable de comprendre au moins une langue."
  }</v>
      </c>
    </row>
    <row r="438" spans="1:9">
      <c r="A438" s="75" t="s">
        <v>248</v>
      </c>
      <c r="B438" s="18" t="s">
        <v>2918</v>
      </c>
      <c r="C438" s="55" t="s">
        <v>3878</v>
      </c>
      <c r="D438" s="55"/>
      <c r="E438" s="55"/>
      <c r="F438" s="55"/>
      <c r="G438" s="18">
        <v>-1</v>
      </c>
      <c r="H438" s="251" t="s">
        <v>3879</v>
      </c>
      <c r="I438" t="str">
        <f t="shared" si="6"/>
        <v>"GREAT_OLD-Protection entropique":  {
 "Code" : "Protection entropique",
 "Class" : "WIZARD",
 "Specialisation" : "GREAT_OLD","UseNumber" : -1,
 "Description" : "À partir du niveau 6, vous apprenez à vous protéger magiquement contre les attaques et à retourner en votre faveur l'échec d'un ennemi. Lorsqu'une créature fait un jet d'attaque contre vous, vous pouvez utiliser votre réaction pour lui imposer un désavantage à ce jet. Si l'attaque échoue, votre prochain jet d'attaque contre cette créature a l'avantage si vous l'attaquez avant la fin de votre prochain tour. Une fois que vous avez utilisé cette capacité, vous ne pouvez pas l'utiliser à nouveau jusqu'à ce que vous terminiez un repos court ou long."
  }</v>
      </c>
    </row>
    <row r="439" spans="1:9">
      <c r="A439" s="75" t="s">
        <v>248</v>
      </c>
      <c r="B439" s="18" t="s">
        <v>2918</v>
      </c>
      <c r="C439" s="55" t="s">
        <v>3880</v>
      </c>
      <c r="D439" s="55"/>
      <c r="E439" s="55"/>
      <c r="F439" s="55"/>
      <c r="G439" s="18">
        <v>-1</v>
      </c>
      <c r="H439" s="251" t="s">
        <v>3881</v>
      </c>
      <c r="I439" t="str">
        <f t="shared" si="6"/>
        <v>"GREAT_OLD-Bouclier mental":  {
 "Code" : "Bouclier mental",
 "Class" : "WIZARD",
 "Specialisation" : "GREAT_OLD","UseNumber" : -1,
 "Description" : "À partir du niveau 10, vos pensées ne peuvent pas être lues par télépathie ou par d'autres moyens, sauf si vous le permettez. Vous avez également la résistance aux dégâts psychiques, et chaque fois qu'une créature vous inflige des dégâts psychiques, elle prend la même quantité de dégâts que vous."
  }</v>
      </c>
    </row>
    <row r="440" spans="1:9">
      <c r="A440" s="179" t="s">
        <v>248</v>
      </c>
      <c r="B440" s="52" t="s">
        <v>2918</v>
      </c>
      <c r="C440" s="52" t="s">
        <v>3882</v>
      </c>
      <c r="D440" s="52"/>
      <c r="E440" s="52"/>
      <c r="F440" s="52"/>
      <c r="G440" s="52">
        <v>-1</v>
      </c>
      <c r="H440" s="255" t="s">
        <v>3883</v>
      </c>
      <c r="I440" t="str">
        <f t="shared" si="6"/>
        <v>"GREAT_OLD-Asservissement":  {
 "Code" : "Asservissement",
 "Class" : "WIZARD",
 "Specialisation" : "GREAT_OLD","UseNumber" : -1,
 "Description" : "Au niveau 14, vous gagnez la capacité d'infecter l'esprit d'un humanoïde par la magie extraterrestre de votre patron. Vous pouvez utiliser votre action pour toucher un humanoïde incapable d'agir. Vous charmez alors cette créature jusqu'à ce qu'un sort de délivrance des malédictions lui soit lancé, que la condition charmé lui soit retirée, ou que vous utilisiez cette capacité à nouveau. Vous pouvez communiquer par télépathie avec la créature charmée aussi longtemps que vous vous trouvez tous les deux sur le même plan d'existence."
  }</v>
      </c>
    </row>
    <row r="441" spans="1:9">
      <c r="A441" s="55"/>
      <c r="B441" s="18"/>
    </row>
    <row r="442" spans="1:9">
      <c r="A442" s="55"/>
      <c r="B442" s="18"/>
    </row>
    <row r="443" spans="1:9">
      <c r="A443" s="55"/>
      <c r="B443" s="18"/>
      <c r="I443" t="str">
        <f>CONCATENATE(I2,",
",I3,",
",I4,",
",I5,",
",I6,",
",I7,",
",I8,",
",I9,",
",I10,",
",I11,",
",I12,",
",I13,",
",I14,",
",I15,",
",I16,",
",I17,",
",I18,",
",I19,",
",I20,",
",I21,",
",I22,",
",I23,",
",I24,",
",I25,",
",I26,",
",I27,",
",I28,",
",I29,",
",I30,",
",I31,",
",I32,",
",I33,",
",I34,",
",I35,",
",I36,",
",I37,",
",I38,",
",I39,",
")</f>
        <v xml:space="preserve">"ARTIFICER-Bricolage magique":  {
 "Code" : "Bricolage magique",
 "Class" : "ARTIFICER",
 "Specialisation" : "","UseNumber" : "INT",
 "Description" : "Au niveau 1, vous apprenez à imprégner une étincelle de magie dans des objets ordinaires. Pour utiliser cette capacité, vous devez avoir en main des outils de bricoleur ou tout autre outil d'artisan. Vous touchez ensuite par une action un objet non magique de taille TP et lui conférez une propriété magique de votre choix parmi la liste suivante : •	L'objet émet une lumière vive sur un rayon de 1,50 m et une lumière faible sur 1,50 m supplémentaire. •	Lorsqu'une créature le tapote, l'objet émet un message enregistré qui peut être entendu jusqu'à 3 mètres. Vous prononcez le message lorsque vous conférez cette propriété à l'objet, et l'enregistrement ne peut durer plus de 6 secondes. •	L'objet émet continuellement, au choix, une odeur ou un son non verbal (bruit de vent, de vagues, gazouillis, etc). L'effet choisi est perceptible jusqu'à 3 mètres. •	Un effet visuel statique apparaît sur l'une des surfaces de l'objet. Cet effet peut être une image, un texte (jusqu'à 25 mots), des lignes et des formes, ou encore un mélange à votre guise de ces éléments. La propriété choisie dure indéfiniment. Par une action, vous pouvez toucher l'objet et mettre fin à la propriété prématurément. Vous pouvez appliquer la magie de cette capacité à plusieurs objets à la fois, en touchant un objet différent chaque fois que vous utilisez cette capacité, mais un objet donné ne peut porter qu'une seule propriété à la fois. Le nombre maximum d'objets que vous pouvez affecter de manière simultanée avec cette capacité est égal à votre modificateur d'Intelligence (minimum 1 objet). Si vous essayez de dépasser ce maximum, la propriété la plus ancienne prend fin immédiatement et la nouvelle propriété s'applique."
  },
"ARTIFICER-Incantations":  {
 "Code" : "Incantations",
 "Class" : "ARTIFICER",
 "Specialisation" : "","UseNumber" : -1,
 "Description" : "Vous avez étudié les rouages de la magie, comment la canaliser à travers des objets, et comment l'éveiller à travers eux. En conséquence, vous avez gagné une capacité limitée à lancer des sorts. Pour un observateur, vous ne semblez pas vraiment lancer des sorts dans le sens usuel ; c'est plutôt comme si vous produisiez des miracles au moyen de divers objets."
  },
"ARTIFICER-Sorts mineurs":  {
 "Code" : "Sorts mineurs",
 "Class" : "ARTIFICER",
 "Specialisation" : "","Stats" : true,"Auto" : true,
 "Description" : "Au niveau 1, vous connaissez deux sorts mineurs de votre choix parmi la liste de sorts d'artificier ci-dessous. Vous apprendrez des sorts mineurs supplémentaires de votre choix aux niveaux supérieurs, comme indiqué dans la colonne Sorts mineurs connus de la table ci-dessus. Lorsque vous gagnez un niveau dans cette classe, vous pouvez remplacer un de vos sorts mineurs d'artificier connu par un autre de la liste de sorts d'artificier."
  },
"ARTIFICER-Préparer et lancer des sorts":  {
 "Code" : "Préparer et lancer des sorts",
 "Class" : "ARTIFICER",
 "Specialisation" : "","Stats" : true,"Auto" : true,
 "Description" : "La table de l'artificier indique combien d'emplacements de sorts vous avez pour lancer vos sorts d'artificier. Pour lancer un de vos sorts de niveau 1 ou supérieur, vous devez dépenser un emplacement du niveau du sort ou supérieur. Vous regagnez tous les emplacements de sorts dépensés lorsque vous terminez un repos long. Vous devez préparer la liste des sorts d'artificier qui vous sont disponibles pour les lancer, en les choisissant dans la liste de sorts d'artificier. Pour ce faire, choisissez un nombre de sorts d'artificier égal à votre modificateur d'Intelligence + la moitié de votre niveau d'artificier, arrondi à l'inférieur (minimum un sort). Les sorts doivent être d'un niveau pour lequel vous avez des emplacements de sorts. Par exemple, si vous êtes un artificier de niveau 5, vous possédez quatre emplacements de sorts de niveau 1 et deux emplacements de sorts de niveau 2. Avec une Intelligence de 14, votre liste de sorts préparés peut inclure quatre sorts de niveau 1 ou 2, selon n'importe quelle combinaison. Si vous préparez le sort de niveau 1 soins, vous pouvez le lancer en utilisant un emplacement de niveau 1 ou de niveau 2. Lancer le sort ne le supprime pas de votre liste de sorts préparés. Vous pouvez modifier votre liste de sorts préparés lorsque vous terminez un repos long. Préparer une nouvelle liste de sorts d'artificier demande du temps pour bricoler avec vos focaliseurs de sorts : au moins 1 minute par niveau de sort pour chaque sort de votre liste. L'Intelligence est votre caractéristique d'incantation pour vos sorts d'artificier ; votre compréhension théorique de la magie vous permet de manier ces sorts avec une grande habileté. Vous utilisez votre Intelligence chaque fois qu'un sort d'artificier se réfère à votre caractéristique d'incantation. En outre, vous utilisez votre modificateur d'Intelligence pour définir le DD du jet de sauvegarde d'un sort d'artificier que vous lancez ainsi que pour le jet d'attaque de celui-ci. DD de sauvegarde des sorts = 8 + votre bonus de maîtrise + votre modificateur d'Intelligence Modificateur aux attaques avec un sort = votre bonus de maîtrise + votre modificateur d'Intelligence"
  },
"ARTIFICER-Rituel":  {
 "Code" : "Rituel",
 "Class" : "ARTIFICER",
 "Specialisation" : "","UseNumber" : -1,
 "Description" : "Vous pouvez lancer un sort d'artificier en tant que rituel si ce sort possède l'étiquette rituel et si vous avez préparé ce sort."
  },
"ARTIFICER-Imprégnation d'objet":  {
 "Code" : "Imprégnation d'objet",
 "Class" : "ARTIFICER",
 "Specialisation" : "","UseNumber" : 1,
 "Description" : "Au niveau 2, vous gagnez la capacité d'imprégner des objets ordinaires avec certaines imprégnations magiques. Les objets magiques que vous créez grâce à cette capacité sont considérés comme des prototypes d'objets permanents. Imprégnations connues Lorsque vous gagnez cette capacité, choisissez quatre imprégnations d'artificier que vous apprenez parmi celles proposées à la fin de la description de cette classe. Vous apprenez des imprégnations supplémentaires de votre choix lorsque vous atteignez certains niveaux dans cette classe, comme le montre la colonne Imprégnations connues de la table de l'artificier. Lorsque vous gagnez un niveau dans cette classe, vous pouvez remplacer une imprégnation d'artificier que vous connaissez par une nouvelle. Imprégner un objet Lorsque vous terminez un repos long, vous pouvez toucher un objet non magique et l'imprégner avec l'une de vos imprégnations d'artificier pour en faire un objet magique. Une imprégnation ne fonctionne que sur certains types d'objet, comme indiqué dans la description de l'imprégnation. Si l'objet requiert d'être lié, vous pouvez vous y lier vous-même au moment où vous imprégnez l'objet, ou bien vous pouvez renoncer au lien afin que quelqu'un d'autre puisse se lier à l'objet. Si vous décidez de vous lier à l'objet plus tard, vous devrez alors suivre le processus normal pour se lier (voir Lien dans le Guide du Maître). Votre imprégnation demeure indéfiniment dans un objet, mais si vous mourez l'imprégnation disparaît après un nombre de jours égal à votre modificateur d'Intelligence (minimum 1 jour). L'imprégnation disparaît également si vous abandonnez la connaissance de cette imprégnation pour une autre. Vous pouvez imprégnez plus d'un objet non magique à la fois à la fin d'un repos long ; le nombre maximum d'objets imprégnables est indiqué dans la colonne Objets imprégnés de la table de l'artificier. Vous devez toucher chaque objet, et chacune de vos imprégnations ne peut imprégner qu'un seul objet à la fois. De plus, aucun objet ne peut supporter plus d'une de vos infusions à la fois. Si vous tentez de dépasser votre nombre maximum d'imprégnations, l'imprégnation la plus ancienne prend fin immédiatement et la nouvelle imprégnation s'applique."
  },
"ARTIFICER-Spécialité d'artificier":  {
 "Code" : "Spécialité d'artificier",
 "Class" : "ARTIFICER",
 "Specialisation" : "","Stats" : true,"Auto" : true,
 "Description" : "Au niveau 3, vous choisissez le type de spécialiste que vous êtes : alchimiste, artilleur ou forgeron de guerre, détaillé à la fin de la description de classe. Votre choix vous accorde des capacités spéciales au niveau 5 puis aux niveaux 9 et 15."
  },
"ARTIFICER-Outil adéquat":  {
 "Code" : "Outil adéquat",
 "Class" : "ARTIFICER",
 "Specialisation" : "","UseNumber" : -1,
 "Description" : "Au niveau 3, vous apprenez à produire exactement l'outil dont vous avez besoin : avec des outils de bricoleur en mains, vous pouvez créer magiquement des outils d'artisan dans un espace inoccupé à 1,50 mètre ou moins de vous. Cette création demande 1 heure de travail ininterrompu, qui peut coïncider avec un repos court ou long. Bien qu'ils soient le produit de la magie, les outils ne sont pas magiques et disparaissent dès que vous utilisez cette capacité à nouveau."
  },
"ARTIFICER-Amélioration de caractéristiques":  {
 "Code" : "Amélioration de caractéristiques",
 "Class" : "ARTIFICER",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"ARTIFICER-Expertise d'outil":  {
 "Code" : "Expertise d'outil",
 "Class" : "ARTIFICER",
 "Specialisation" : "",
 "Description" : "À partir du niveau 6, votre bonus de maîtrise est doublé pour tout jet de caractéristique que vous réalisez et qui utilise votre maîtrise d'un outil."
  },
"ARTIFICER-Éclair de génie":  {
 "Code" : "Éclair de génie",
 "Class" : "ARTIFICER",
 "Specialisation" : "",
 "Description" : "À partir du niveau 7, vous gagnez la capacité de proposer des solutions tout en étant sous pression. Lorsque vous ou une autre créature que vous voyez à 9 mètres ou moins de vous fait un jet de caractéristique ou de sauvegarde, vous pouvez utiliser votre réaction pour ajouter votre modificateur d'Intelligence au jet. Vous pouvez utiliser cette capacité un nombre de fois égal à votre modificateur Intelligence (minimum une fois). Vous récupérez toutes les utilisations dépensées lorsque vous terminez un repos long."
  },
"ARTIFICER-Expert en objets magiques":  {
 "Code" : "Expert en objets magiques",
 "Class" : "ARTIFICER",
 "Specialisation" : "",
 "Description" : "Au niveau 10, vous obtenez une compréhension approfondie de la façon d'utiliser et de fabriquer des objets magiques : •	Vous pouvez vous lier avec quatre objets magiques à la fois. •	Si vous fabriquez un objet magique qui possède une rareté commun ou peu commun, cela ne vous prend qu'un quart du temps normal, et ne vous coûte que la moitié de l'or habituel."
  },
"ARTIFICER-Objet stockeur de sort":  {
 "Code" : "Objet stockeur de sort",
 "Class" : "ARTIFICER",
 "Specialisation" : "",
 "Description" : "Au niveau 11, vous apprenez à stocker un sort dans un objet. Lorsque vous terminez un repos long, vous pouvez toucher une arme courante ou de guerre, ou n'importe quel objet que vous pouvez utiliser comme focaliseur de sorts, et y stocker un sort à l'intérieur. Vous choisissez ce sort qui doit être un sort d'artificier de niveau 1 ou 2 et qui se lance par 1 action (vous n'avez pas besoin d'avoir préparé ce sort). Si elle tient l'objet en main, une créature peut utiliser une action pour produire l'effet du sort, en utilisant le modificateur de votre caractéristique d'incantation. Si le sort nécessite de la concentration, la créature doit se concentrer. Le sort demeure dans l'objet jusqu'à ce qu'il ait été utilisé un nombre de fois égal à deux fois votre modificateur d'Intelligence (minimum 2) ou jusqu'à ce que vous utilisiez à nouveau cette capacité pour stocker un sort dans un objet."
  },
"ARTIFICER-Érudit en objets magiques":  {
 "Code" : "Érudit en objets magiques",
 "Class" : "ARTIFICER",
 "Specialisation" : "",
 "Description" : "Au niveau 14, votre compétence avec les objets magiques s'approfondit davantage : •	Vous pouvez vous lier avec cinq objets magiques à la fois. •	Vous ignorez toutes les exigences de classe, de race, de sort et de niveau pour utiliser ou se lier avec un objet magique."
  },
"ARTIFICER-Maître des objets magiques":  {
 "Code" : "Maître des objets magiques",
 "Class" : "ARTIFICER",
 "Specialisation" : "","Stats" : true,"Auto" : true,
 "Description" : "À partir du niveau 18, vous pouvez vous lier avec six objets magiques à la fois."
  },
"ARTIFICER-L'artifice dans l'âme":  {
 "Code" : "L'artifice dans l'âme",
 "Class" : "ARTIFICER",
 "Specialisation" : "",
 "Description" : "Au niveau 20, vous développez une connexion mystique avec vos objets magiques, que vous pouvez utiliser pour vous protéger : •	Vous gagnez un bonus de +1 à tous les jets de sauvegarde par objet magique auquel vous êtes lié. •	Si vous êtes réduit à 0 point de vie mais pas tué, vous pouvez utiliser votre réaction pour mettre fin à l'une de vos imprégnations d'artificier, ce qui vous rétablit à 1 point de vie au lieu de 0."
  },
"ALCHEMIST-Maîtrise des outils":  {
 "Code" : "Maîtrise des outils",
 "Class" : "ARTIFICER",
 "Specialisation" : "ALCHEMIST","Stats" : true,
 "Description" : "Lorsque vous adoptez cette spécialité au niveau 3, vous gagnez la maîtrise du matériel d'alchimiste. Si vous possédez déjà cette maîtrise, vous acquérez la maîtrise d'un autre type d'outils d'artisan de votre choix."
  },
"ALCHEMIST-Sorts d'alchimiste":  {
 "Code" : "Sorts d'alchimiste",
 "Class" : "ARTIFICER",
 "Specialisation" : "ALCHEMIST","UseNumber" : -1,
 "Description" : "À partir du niveau 3, certains de vos sorts sont toujours préparés, comme indiqué dans la table ci-dessous. Vous considérez ces sorts comme des sorts d'artificier mais ils ne comptent pas dans le nombre de sorts que vous pouvez préparer.  Niveau d'artificier	Sorts 3					mot de guérison, rayon empoisonné 5					flèche acide de Melf, sphère de feu 9					forme gazeuse, mot de guérison de groupe 13					flétrissement, protection contre la mort 17					nuage mortel, rappel à la vie"
  },
"ALCHEMIST-Élixir expérimental":  {
 "Code" : "Élixir expérimental",
 "Class" : "ARTIFICER",
 "Specialisation" : "ALCHEMIST","UseNumber" : 1,
 "Description" : "À partir du niveau 3, chaque fois que vous terminez un repos long, vous pouvez magiquement produire un élixir expérimental dans une fiole vide que vous touchez. Lancez un dé sur la table ci-dessous pour définir l'effet de l'élixir, lequel se déclenche lorsque quelqu'un boit l'élixir. Par une action, une créature peut boire l'élixir ou l'administrer à une créature incapable d'agir. Créer un élixir expérimental demande d'avoir un matériel d'alchimiste sur soi, et tout élixir créé avec cette capacité dure jusqu'à ce qu'il soit bu ou jusqu'à la fin de votre prochain repos long.  Lorsque vous atteignez certains niveaux dans cette classe, vous pouvez fabriquer plus d'élixirs à la fin d'un repos long : deux au niveau 6 et trois au niveau 15. Lancez séparément l'effet de chaque élixir. Chaque élixir nécessite son propre flacon. Vous pouvez créer des élixirs expérimentaux supplémentaires en dépensant pour chacun un emplacement de sort de niveau 1 ou supérieur. Dans ce cas, vous utilisez votre action pour créer l'élixir dans une fiole vide que vous touchez, et vous choisissez l'effet de l'élixir dans la table ci-dessous.  d6	Effet 1	Soins. Le buveur regagne un nombre de points de vie égal à 2d4 + votre modificateur d'Intelligence. 2	Rapidité. La vitesse du buveur augmente de 3 mètres durant 1 heure. 3	Résilience. Le buveur obtient un bonus de +1 à la CA durant 10 minutes. 4	Audace. Le buveur peut lancer un d4 et ajouter le nombre obtenu à chaque jet d'attaque ou de sauvegarde qu'il effectue dans la minute qui suit. 5	Vol. Le buveur obtient une vitesse de vol de 3 mètres durant 10 minutes. 6	Transformation. Le corps du buveur est transformé comme par le sort modification d'apparence. Le buveur détermine la transformation provoquée par le sort, dont les effets durent 10 minutes."
  },
"ALCHEMIST-Alchimiste érudit":  {
 "Code" : "Alchimiste érudit",
 "Class" : "ARTIFICER",
 "Specialisation" : "ALCHEMIST","UseNumber" : -1,
 "Description" : "Au niveau 5, votre contrôle des réactifs magico-chimiques est devenu magistral, améliorant les soins et les dégâts que vous en tirez. Lorsque vous lancez un sort en utilisant votre matériel d'alchimiste comme focaliseur, vous recevez un bonus à un jet du sort. Ce jet doit restaurer des points de vie ou être un jet qui inflige des dégâts d'acide, de feu, nécrotique ou de poison, et le bonus est égal à votre modificateur d'Intelligence (minimum +1)."
  },
"ALCHEMIST-Réactifs de restauration":  {
 "Code" : "Réactifs de restauration",
 "Class" : "ARTIFICER",
 "Specialisation" : "ALCHEMIST","UseNumber" : -1,
 "Description" : "À partir du niveau 9, vous pouvez incorporer des réactifs de restauration dans certains de vos travaux :  Chaque fois qu'une créature boit un élixir expérimental que vous avez créé, la créature gagne des points de vie temporaires égaux à 2d6 + votre modificateur d'Intelligence (minimum 1 point de vie temporaire). Vous pouvez lancer restauration partielle sans dépenser d'emplacement de sort et sans avoir à le préparer, du moment que vous utilisez votre matériel d'alchimiste comme focaliseur de sort. Vous pouvez lancer ce sort de cette façon un nombre de fois égal à votre modificateur d'Intelligence (minimum une fois) et vous récupérez toutes les utilisations dépensées lorsque vous terminez un repos long."
  },
"ALCHEMIST-Maître chimiste":  {
 "Code" : "Maître chimiste",
 "Class" : "ARTIFICER",
 "Specialisation" : "ALCHEMIST","UseNumber" : -1,
 "Description" : "Au niveau 15, vous avez été exposé à tant d'éléments chimiques dont vous avez percé les secrets qu'ils ne présentent plus aucun risque pour vous, au point que vous les utilisez même pour mettre fin prestement à certaines affections :  Vous gagnez la résistance aux dégâts d'acide et de poison, et vous êtes désormais immunisé à la condition empoisonné. Vous pouvez lancer restauration supérieure et guérison sans dépenser d'emplacement de sort, sans avoir à les préparer et sans utiliser de composantes matérielles, du moment que vous utilisez votre matériel d'alchimiste comme focaliseur de sort. Une fois que vous avez lancé l'un ou l'autre de ces sorts avec cette capacité, vous ne pouvez plus lancer ce sort de cette manière avant d'avoir terminé un repos long."
  },
"GUNNER-Maîtrise des outils":  {
 "Code" : "Maîtrise des outils",
 "Class" : "ARTIFICER",
 "Specialisation" : "GUNNER","Stats" : true,
 "Description" : "Lorsque vous adoptez cette spécialité au niveau 3, vous gagnez la maîtrise des outils de menuisier. Si vous possédez déjà cette maîtrise, vous acquérez la maîtrise d'un autre type d'outils d'artisan de votre choix."
  },
"GUNNER-Sorts d'artilleur":  {
 "Code" : "Sorts d'artilleur",
 "Class" : "ARTIFICER",
 "Specialisation" : "GUNNER","UseNumber"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bouclier, onde de choc 5					rayon ardent, fracassement 9					boule de feu, mur de vent 13					tempête de grêle, mur de feu 17					cône de froid, mur de force"
  },
"GUNNER-Canon occulte":  {
 "Code" : "Canon occulte",
 "Class" : "ARTIFICER",
 "Specialisation" : "GUNNER","UseNumber" : -1,
 "Description" : "Au niveau 3, vous apprenez à créer un canon occulte. Avec des outils de menuisier ou de forgeron en main, vous pouvez par une action créer magiquement un canon occulte de taille TP ou P dans un espace inoccupé sur une surface horizontale dans un rayon de 1,50 m autour de vous. Un canon occulte de taille P occupe son espace, et un canon de taille TP peut être porté dans une main. Une fois que vous avez créé un canon, vous ne pouvez plus recommencer avant d'avoir terminé un repos long ou d'avoir dépensé un emplacement de sort de niveau 1 ou supérieur. Vous ne pouvez avoir qu'un seul canon à la fois et vous ne pouvez pas en créer un autre tant que votre canon est présent.  Le canon est un objet magique. Quelle que soit sa taille, il a une CA de 18 et un nombre de points de vie égal à cinq fois votre niveau d'artificier. Il est immunisé aux dégâts de poison, aux dégâts psychiques et à toutes les conditions. S'il est contraint d'effectuer un jet de caractéristiques ou de sauvegarde, considérez toutes ses valeurs de caractéristiques comme étant de 10 (+0). Si le sort réparation le prend pour cible, il récupère 2d6 points de vie. Il disparaît s'il tombe à 0 point de vie ou au bout de 1 heure. Vous pouvez le révoquer prématurément par une action. Lorsque vous créez le canon, vous choisissez son apparence et s'il possède des jambes ou pas. Vous choisissez également son type dans la table ci-dessous. À chacun de vos tours, vous pouvez prendre une action bonus pour l'activer si vous êtes dans un rayon de 18 mètres autour de lui. Au cours de la même action, vous pouvez le faire marcher ou grimper de 4,50 m vers un espace inoccupé, s'il possède des jambes.  Canon				Activation Lance-Flammes		Le canon exhale du feu dans un cône adjacent de 4,50 m que vous indiquez. Chaque créature dans cette zone doit réaliser un jet de sauvegarde de Dextérité contre le DD de sauvegarde de vos sorts et subir 2d8 dégâts de feu en cas d'échec ou la moitié en cas de réussite. Le feu enflamme tout objet inflammable dans la zone qui n'est pas tenu ou porté. Baliste de Force	Effectuez une attaque à distance avec un sort en prenant le canon pour origine et en ciblant une créature ou un objet à 36 mètres ou moins de lui. Si l'attaque touche, la cible subit 2d8 dégâts de Force et, si la cible est une créature, celle-ci est repoussée de 1,50 m. Défenseur			Le canon émet un jaillissement d'énergie positive qui lui octroie, ainsi qu'à chaque créature de votre choix dans un rayon de 3 mètres, un nombre de points de vie temporaires égal à 1d8 + votre modificateur d'Intelligence (minimum +1)."
  },
"GUNNER-Prototype d'arme à feu":  {
 "Code" : "Prototype d'arme à feu",
 "Class" : "ARTIFICER",
 "Specialisation" : "GUNNER","UseNumber" : -1,
 "Description" : "Au niveau 5, vous savez comment transformer une baguette, un bâton ou un sceptre en une arme à feu arcanique, un conduit pour vos sorts destructeurs. Lorsque vous terminez un repos long, vous pouvez utiliser des outils de menuisier pour sculpter des symboles spéciaux sur une baguette, un bâton ou un sceptre et ainsi le transformer en votre arme à feu arcanique. Les symboles disparaissent de l'objet si vous les gravez ensuite sur un autre objet. Sinon, ils durent indéfiniment.  Vous pouvez utiliser votre arme à feu arcanique comme focaliseur de sorts pour vos sorts d'artificier. Lorsque vous lancez un sort d'artificier à travers l'arme à feu, lancez un d8 et vous obtenez un bonus à l'un des jets de dégâts du sort égal au nombre obtenu."
  },
"GUNNER-Canon explosif":  {
 "Code" : "Canon explosif",
 "Class" : "ARTIFICER",
 "Specialisation" : "GUNNER","UseNumber" : -1,
 "Description" : "À partir du niveau 9, chaque canon occulte que vous créez est plus destructeur :  Tous les jets de dégâts du canon augmentent de 1d8. Par une action, vous pouvez ordonner au canon d'exploser si vous êtes dans un rayon de 18 mètres autour de lui. Cela détruit le canon et force toute créature à 6 mètres ou moins de lui à effectuer un jet de sauvegarde de Dextérité contre le DD de sauvegarde de vos sorts, subissant 3d8 dégâts de force en cas d'échec ou la moitié de ces dégâts en cas de succès."
  },
"GUNNER-Position fortifiée":  {
 "Code" : "Position fortifiée",
 "Class" : "ARTIFICER",
 "Specialisation" : "GUNNER","UseNumber" : -1,
 "Description" : "À partir du niveau 15, vous êtes passé maître dans l'art de défendre une position avec Canon occulte.  Grâce à un champ scintillant de protection magique émanant du canon, vous et vos alliés bénéficiez d'un abri partiel dans un rayon de 3 mètres autour du canon que vous avez créé avec Canon occulte. Vous pouvez maintenant avoir deux canons au même moment. Vous pouvez en créer deux avec la même action (mais pas avec le même emplacement de sort) et vous pouvez activer les deux avec la même action bonus. Vous choisissez si les canons sont identiques ou différents. Vous ne pouvez pas créer un troisième canon tant que vous en avez deux."
  },
"BLACKSMITH-Maîtrise des outils":  {
 "Code" : "Maîtrise des outils",
 "Class" : "ARTIFICER",
 "Specialisation" : "BLACKSMITH","Stats" : true,
 "Description" : "Lorsque vous adoptez cette spécialité au niveau 3, vous gagnez la maîtrise des outils de forgeron. Si vous possédez déjà cette maîtrise, vous acquérez la maîtrise d'un autre type d'outils d'artisan de votre choix."
  },
"BLACKSMITH-Sorts de forgeron de guerre":  {
 "Code" : "Sorts de forgeron de guerre",
 "Class" : "ARTIFICER",
 "Specialisation" : "BLACKSMITH","UseNumber"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héroïsme, bouclier 5					châtiment lumineux, lien de protection 9					aura de vitalité, invocation de tir de barrage 13					aura de pureté, bouclier de feu 17					châtiment de bannissement, soins de groupe"
  },
"BLACKSMITH-Paré au combat":  {
 "Code" : "Paré au combat",
 "Class" : "ARTIFICER",
 "Specialisation" : "BLACKSMITH","UseNumber" : -1,
 "Description" : "Au niveau 3, votre entraînement au combat et vos expérimentations avec la magie ont porté leurs fruits de deux manières :  Vous gagnez la maîtrise des armes de guerre. Lorsque vous portez une attaque avec une arme magique, vous pouvez utiliser votre modificateur d'intelligence, à la place de votre modificateur de Force ou de Dextérité, pour les jets d'attaque et de dégâts."
  },
"BLACKSMITH-Protecteur d'acier":  {
 "Code" : "Protecteur d'acier",
 "Class" : "ARTIFICER",
 "Specialisation" : "BLACKSMITH","UseNumber" : -1,
 "Description" : "Au niveau 3, vos bricolages dans vos temps libres ont donné naissance à un compagnon fidèle, un protecteur d'acier. Il est amical envers vous et vos compagnons, et obéit à vos ordres. Il est amical envers vous et vos compagnons, et obéit à vos ordres. Référez-vous au bloc de statistiques du protecteur d'acier. Vous déterminez l'apparence de la créature et si elle a deux ou quatre pattes ; votre choix n'a aucun effet sur ses statistiques.  En combat, le protecteur d'acier partage votre initiative, mais prend son tour immédiatement après le vôtre. Il peut bouger et utiliser sa réaction par lui-même, mais la seule action qu'il peut entreprendre à son tour est l'action Esquiver, à moins que vous ne preniez une action bonus à votre tour pour lui ordonner d'entreprendre l'une des actions de son bloc de stat, ou bien encore une action parmi Aider, Chercher, Foncer, Se cacher et Se désengager.  Si le sort réparation est lancé sur le protecteur d'acier, il récupère 2d6 points de vie. S'il est mort depuis moins d'une heure, vous pouvez par une action utiliser vos outils de forgeron pour le ramener à la vie, à condition de vous trouver à 1,50 m ou moins de lui et de dépenser un emplacement de sort de niveau 1 ou supérieur. Le protecteur d'acier revient à la vie avec tous ses points de vie récupérés. À la fin de repos long, vous pouvez créer un nouveau protecteur d'acier si vous avez vos outils de forgeron avec vous. Si vous avez déjà un protecteur d'acier dû à cette capacité, le premier périt immédiatement."
  },
"BLACKSMITH-Attaque supplémentaire":  {
 "Code" : "Attaque supplémentaire",
 "Class" : "ARTIFICER",
 "Specialisation" : "BLACKSMITH","UseNumber" : -1,
 "Description" : "À partir du niveau 5, vous pouvez attaquer deux fois, au lieu d'une seule, chaque fois que vous réalisez l’action Attaquer durant votre tour."
  },
"BLACKSMITH-Décharge arcanique":  {
 "Code" : "Décharge arcanique",
 "Class" : "ARTIFICER",
 "Specialisation" : "BLACKSMITH","UseNumber" : "INT",
 "Description" : "Au niveau 9, vous apprenez de nouvelles façons de canaliser l'énergie arcanique pour endommager ou soigner. Lorsque vous touchez une cible lors d'une attaque avec une arme magique ou que votre protecteur d'acier touche une cible, vous pouvez canaliser l'énergie magique dans le coup pour créer l'un des effets suivants :  La cible subit 2d6 dégâts de force supplémentaires. Choisissez une créature ou un objet que vous pouvez voir dans un rayon de 9 mètres autour de la cible. Une énergie curative se répand dans le bénéficiaire choisit, que récupère 2d6 points de vie. Vous pouvez canaliser cette énergie magique un nombre de fois égal à votre modificateur d'intelligence (minimum une fois), mais pas plus d'une fois par tour. Vous récupérez toutes les utilisations de cette capacité lorsque vous terminez un repos long."
  },
"BLACKSMITH-Défenseur amélioré":  {
 "Code" : "Défenseur amélioré",
 "Class" : "ARTIFICER",
 "Specialisation" : "BLACKSMITH","UseNumber" : -1,
 "Description" : "Au niveau 15, votre décharge arcanique et votre protecteur d'acier deviennent encore plus puissants :  Les dégâts supplémentaires et les soins de votre décharge arcanique passent à 4d6. Votre protecteur d'acier gagne un bonus de +2 à la CA. Lorsque votre protecteur d'acier utilise sa Parade d'attaque, l'attaquant subit des dégâts de force égaux à 1d4 + votre modificateur d'intelligence."
  },
"BARBARIAN-Rage":  {
 "Code" : "Rage",
 "Class" : "BARBARIAN",
 "Specialisation" : "","Special" : true,
 "Description" : "En combat, vous vous battez avec une férocité bestiale. Durant votre tour, vous pouvez entrer en rage en utilisant une action bonus. En rage, vous gagnez les bénéfices suivants si vous ne portez pas d'armure lourde :  Vous avez un avantage aux jets de Force et aux jets de sauvegarde de Force. Quand vous effectuez une attaque au corps à corps avec une arme utilisant la Force, vous gagnez un bonus aux jets de dégâts qui dépend de votre niveau de barbare, comme indiqué dans la colonne Dégâts de la table ci-dessus. Vous avez la résistance aux dégâts contondants, perforants et tranchants. Si vous êtes capable de lancer des sorts, vous ne pouvez les lancer ou vous concentrer sur eux pour toute la durée de la rage.  Votre rage dure 1 minute. Elle finit prématurément si vous devenez inconscient, ou si votre tour se termine et que vous n'avez ni attaqué une créature hostile, ni subi des dégâts, depuis votre précédent tour. Vous pouvez également mettre fin à votre rage durant votre tour par une action bonus. Vous récupérez les utilisations de rage dépensées après avoir terminé un repos long."
  },
"BARBARIAN-Voie primitive":  {
 "Code" : "Voie primitive",
 "Class" : "BARBARIAN",
 "Specialisation" : "","Stats" : true,
 "Description" : "Au niveau 3, vous choisissez la voie par laquelle s'exprime votre rage. Choisissez la voie du berserker ou la voie du guerrier totem, chacune étant détaillée ci-dessous. Votre choix vous accorde des capacités aux niveaux 3, 6, 10 et 14."
  },
"BARBARIAN-Défense sans armure":  {
 "Code" : "Défense sans armure",
 "Class" : "BARBARIAN",
 "Specialisation" : "","Stats" : true,"Auto" : true,
 "Description" : "Tant que vous ne portez pas d'armure, votre classe d'armure est égale à 10 + votre modificateur de Dextérité + votre modificateur de Constitution. Vous pouvez utiliser un bouclier et continuer de profiter de cette capacité."
  },
</v>
      </c>
    </row>
    <row r="444" spans="1:9">
      <c r="A444" s="55"/>
      <c r="B444" s="18"/>
      <c r="I444" t="str">
        <f>CONCATENATE(I40,",
",I41,",
",I42,",
",I43,",
",I44,",
",I45,",
",I46,",
",I47,",
",I48,",
",I49,",
",I50,",
",I51,",
",I52,",
",I53,",
",I54,",
",I55,",
",I56,",
",I57,",
",I58,",
",I59,",
",I60,",
",I61,",
",I62,",
",I63,",
",I64,",
",I65,",
",I66,",
",I67,",
",I68,",
",I69,",
",I70,",
",I71,",
",I72,",
",I73,",
",I74,",
",I75,",
",I76,",
",I77,",
",I78,",
",I79,",
",I80,",
",I81,",
",I82,",
",I83,",
",I84,",
",I85,",
",I86,",
",I87,",
",I88,",
",I89,",
")</f>
        <v xml:space="preserve">"BARBARIAN-Attaque téméraire":  {
 "Code" : "Attaque téméraire",
 "Class" : "BARBARIAN",
 "Specialisation" : "","UseNumber" : -1,
 "Description" : "À partir du niveau 2, vous pouvez mettre de côté votre défense pour attaquer avec toute la violence du désespoir. Lorsque vous effectuez la première attaque de votre tour, vous pouvez décider d'effectuer une Attaque téméraire. Vous obtenez ainsi un avantage aux jets d'attaque au corps à corps avec une arme utilisant la Force durant ce tour, mais les attaques effectuées contre vous ont également un avantage jusqu'à votre prochain tour."
  },
"BARBARIAN-Sens du danger":  {
 "Code" : "Sens du danger",
 "Class" : "BARBARIAN",
 "Specialisation" : "","UseNumber" : -1,
 "Description" : "Au niveau 2, vous ressentez une sensation étrange lorsque les choses qui vous entourent ne sont pas comme elles devraient être, vous donnant un avantage lorsque vous tentez de vous extirper du danger. Vous avez un avantage aux jets de sauvegarde de Dextérité contre les effets que vous pouvez voir, comme les pièges ou les sorts. Pour bénéficier de cet effet vous ne devez pas être aveuglé, assourdi ou incapable d'agir."
  },
"BARBARIAN-Amélioration de caractéristiques":  {
 "Code" : "Amélioration de caractéristiques",
 "Class" : "BARBARIAN",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"BARBARIAN-Attaque supplémentaire":  {
 "Code" : "Attaque supplémentaire",
 "Class" : "BARBARIAN",
 "Specialisation" : "","UseNumber" : -1,
 "Description" : "À partir du niveau 5, vous pouvez attaquer deux fois, au lieu d'une seule, chaque fois que vous réalisez l'action Attaquer durant votre tour."
  },
"BARBARIAN-Déplacement rapide":  {
 "Code" : "Déplacement rapide",
 "Class" : "BARBARIAN",
 "Specialisation" : "","Auto" : true,
 "Description" : "Au niveau 5, votre vitesse augmente de 3 mètres tant que vous ne portez pas d'armure lourde."
  },
"BARBARIAN-Instinct sauvage":  {
 "Code" : "Instinct sauvage",
 "Class" : "BARBARIAN",
 "Specialisation" : "","UseNumber" : -1,
 "Description" : "Au niveau 7, vos instincts sont si aiguisés que vous obtenez un avantage aux jets d'initiative. De plus, si vous êtes surpris au début du combat et que vous n'êtes pas incapable d'agir, vous pouvez jouer normalement durant votre premier tour, mais seulement si vous entrez en rage avant de faire quoique ce soit d'autre à ce tour."
  },
"BARBARIAN-Critique brutal":  {
 "Code" : "Critique brutal",
 "Class" : "BARBARIAN",
 "Specialisation" : "","UseNumber" : -1,
 "Description" : "À partir du niveau 9, vous pouvez lancer un dé de dégâts de votre arme en plus lorsque vous déterminez les dégâts supplémentaires que vous infligez sur un coup critique réussi avec une attaque au corps à corps. Ce bonus aux dégâts passe à deux dés au niveau 13 et à trois dés au niveau 17."
  },
"BARBARIAN-Rage implacable":  {
 "Code" : "Rage implacable",
 "Class" : "BARBARIAN",
 "Specialisation" : "","UseNumber" : -1,
 "Description" : "À partir du niveau 11, votre rage vous permet de continuer à combattre en dépit des graves blessures qui vous affectent. Si vous tombez à 0 point de vie pendant votre rage et que vous ne mourrez pas sur le coup, vous pouvez faire un jet de sauvegarde de Constitution DD 10. Si vous le réussissez, vous retournez immédiatement à 1 point de vie. Chaque fois que vous utilisez cette capacité après la première, le DD augmente de 5. Quand vous terminez un repos court ou long le DD retombe à 10."
  },
"BARBARIAN-Rage ininterrompue":  {
 "Code" : "Rage ininterrompue",
 "Class" : "BARBARIAN",
 "Specialisation" : "","UseNumber" : -1,
 "Description" : "En atteignant le niveau 15, votre rage est si intense qu'elle ne s'arrête prématurément qu'à la condition que vous tombiez inconscient ou que vous choisissiez de l'arrêter."
  },
"BARBARIAN-Puissance indomptable":  {
 "Code" : "Puissance indomptable",
 "Class" : "BARBARIAN",
 "Specialisation" : "","UseNumber" : -1,
 "Description" : "Au niveau 18, si le résultat d'un de vos jets de Force est inférieur à votre valeur de Force, vous pouvez utiliser votre valeur de Force à la place de votre résultat."
  },
"BARBARIAN-Champion primitif":  {
 "Code" : "Champion primitif",
 "Class" : "BARBARIAN",
 "Specialisation" : "","Stats" : true,
 "Description" : "Au niveau 20, vous êtes l'incarnation de la puissance du monde sauvage. Vos valeurs de Force et de Constitution augmentent de 4. Votre maximum dans ces valeurs de caractéristique est maintenant de 24."
  },
"BERSERKER-Frénésie":  {
 "Code" : "Frénésie",
 "Class" : "BARBARIAN",
 "Specialisation" : "BERSERKER","UseNumber" : -1,
 "Description" : "Dès que vous choisissez cette voie au niveau 3, vous pouvez choisir de sombrer dans un état de frénésie au cours de votre rage. Si vous le faites, pour la durée de votre rage, vous pouvez effectuer une unique attaque au corps à corps avec une arme en utilisant une action bonus à chacun de vos tours après celui-ci. Lorsque votre rage se termine, vous subissez un niveau d'épuisement."
  },
"BERSERKER-Rage inébranlable":  {
 "Code" : "Rage inébranlable",
 "Class" : "BARBARIAN",
 "Specialisation" : "BERSERKER","UseNumber" : -1,
 "Description" : "À partir du niveau 6, vous ne pouvez pas être charmé ou effrayé tant que vous êtes en rage. Si vous êtes déjà charmé ou effrayé lorsque vous entrez en rage, l'effet est suspendu le temps de votre rage."
  },
"BERSERKER-Présence intimidante":  {
 "Code" : "Présence intimidante",
 "Class" : "BARBARIAN",
 "Specialisation" : "BERSERKER","UseNumber" : -1,
 "Description" : "À partir du niveau 10, vous pouvez utiliser votre action pour effrayer quelqu'un avec votre présence effrayante. Pour ce faire, choisissez une créature que vous pouvez voir à 9 mètres maximum de vous. Si la créature peut vous voir ou vous entendre, elle doit réussir un jet de sauvegarde de Sagesse (DD égal à 8 + votre bonus de maîtrise + votre modificateur de Charisme) ou vous la effrayez jusqu'à la fin de votre prochain tour. Aux tours suivants, vous pouvez utiliser votre action pour augmenter d'un tour supplémentaire la durée de cet effet sur la créature effrayée. Cet effet se termine si la créature finit son tour hors de votre ligne de vue ou qu'elle se trouve à plus de 18 mètres de vous. Si la créature réussit son jet de sauvegarde, vous ne pouvez plus utiliser cette capacité contre elle durant 24 heures."
  },
"BERSERKER-Représailles":  {
 "Code" : "Représailles",
 "Class" : "BARBARIAN",
 "Specialisation" : "BERSERKER","UseNumber" : -1,
 "Description" : "À partir du niveau 14, lorsque vous subissez des dégâts d'une créature située à 1,50 mètre de vous, vous pouvez utiliser votre réaction pour effectuer une attaque au corps à corps avec une arme contre cette créature."
  },
"TOTEM_WARRIOR-Quêteur spirituel":  {
 "Code" : "Quêteur spirituel",
 "Class" : "BARBARIAN",
 "Specialisation" : "TOTEM_WARRIOR","UseNumber" : -1,
 "Description" : "Une voie qui cherche à vous initier au monde naturel, vous affiliant aux bêtes, est faite pour vous. Au niveau 3, lorsque vous adoptez cette voie, vous obtenez la capacité de lancer les sorts communication avec les animaux et sens animal, mais seulement en tant que rituels."
  },
"TOTEM_WARRIOR-Esprit totem":  {
 "Code" : "Esprit totem",
 "Class" : "BARBARIAN",
 "Specialisation" : "TOTEM_WARRIOR","UseNumber" : -1,
 "Description" : "Au niveau 3, lorsque vous adoptez cette voie, vous choisissez un esprit totem et obtenez les avantages associés. Vous devez fabriquer ou obtenir un objet totem - une amulette ou un ornement similaire - constitué d'os, de poils, de griffes, de plumes ou de dents de votre animal totem. Si vous le souhaitez, vous pouvez également obtenir un attribut physique mineur qui rappelle votre esprit totem. Par exemple, si vous avez choisi l'ours comme esprit totem, vous pourriez être incroyablement poilu et avoir la peau épaisse, ou si votre totem est l'aigle, vos yeux pourraient virer au jaune. Votre animal totem devrait être un animal correspondant à l'un de ceux listés ci-dessous ou s'en approchant mais dont l'espèce est plus appropriée à votre pays d'origine (un vautour ou un faucon à la place d'un aigle par exemple).  Aigle. Lorsque vous êtes en rage et ne portez pas d'armure lourde, les autres créatures ont un désavantage lors des attaques d'opportunité qu'elles effectuent contre vous, et vous pouvez utiliser l'action Foncer en tant qu'action bonus lors de votre tour. L'esprit de l'aigle fait de vous un prédateur capable de circuler dans la mêlée avec aisance. Loup. Lorsque vous êtes en rage, vos alliés ont un avantage aux jets d'attaque au corps à corps effectués contre toute créature située à 1,50 mètre de vous et qui vous sont hostiles. L'esprit du loup fait de vous le chef des chasseurs. Ours. Lorsque vous êtes en rage, vous avez la résistance à tous les types de dégâts sauf aux dégâts psychiques. L'esprit de l'ours vous rend suffisamment coriace pour résister à n'importe quel châtiment."
  },
"TOTEM_WARRIOR-Aspect de la bête":  {
 "Code" : "Aspect de la bête",
 "Class" : "BARBARIAN",
 "Specialisation" : "TOTEM_WARRIOR","UseNumber" : -1,
 "Description" : "Au niveau 6, vous obtenez un bénéfice magique dépendant de l'animal totem de votre choix. Vous pouvez choisir le même animal que celui sélectionné au niveau 3 ou en prendre un différent.  Aigle. Vous gagnez la vision de l'aigle. Vous pouvez voir jusqu'à 1,5 km sans difficulté, capable de discerner même les plus fins détails comme si vous regardiez quelque chose à 30 m de vous. De plus, une faible luminosité n'impose pas un désavantage à vos jets de Sagesse (Perception). Loup. Vous gagnez les sens de chasseur d'un loup. Vous pouvez pister les autres créatures lorsque vous voyagez à un rythme rapide et vous pouvez vous déplacer discrètement lorsque vous voyagez à un rythme normal (voir Partir à l'aventure). Ours. Vous gagnez la puissance de l'ours. Votre capacité de charge (dont votre chargement maximal et votre capacité à soulever des objets) est doublée et vous obtenez un avantage aux jets de Force effectués pour pousser, soulever, tirer ou briser des objets."
  },
"TOTEM_WARRIOR-Marcheur spirituel":  {
 "Code" : "Marcheur spirituel",
 "Class" : "BARBARIAN",
 "Specialisation" : "TOTEM_WARRIOR","UseNumber" : -1,
 "Description" : "Au niveau 10, vous pouvez lancer le sort communion avec la nature, mais seulement en tant que rituel. Lorsque vous le lancez, une version spirituelle de l'un des animaux que vous avez choisis avec Esprit totem ou Aspect de la bête apparaît et vous donne l'information que vous recherchez."
  },
"TOTEM_WARRIOR-Lien totémique":  {
 "Code" : "Lien totémique",
 "Class" : "BARBARIAN",
 "Specialisation" : "TOTEM_WARRIOR","UseNumber" : -1,
 "Description" : "Au niveau 14, vous obtenez un bénéfice magique correspondant à l'animal totem de votre choix. Vous pouvez choisir un animal que vous avez précédemment sélectionné ou en prendre un nouveau.  Aigle. Lorsque vous êtes en rage, vous obtenez une vitesse de vol égale à votre vitesse actuelle de déplacement à pied. Cette capacité fonctionne uniquement sur de cours déplacements ; vous tombez si vous terminez votre tour dans les airs et que rien d'autre ne vous maintient en hauteur. Loup. Lorsque vous êtes en rage vous pouvez utiliser une action bonus lors de votre tour pour mettre à terre une créature de taille G ou inférieure que vous avez touchée lors d'une attaque au corps à corps avec une arme. Ours. Lorsque vous êtes en rage, toute créature située à 1,50 mètre de vous, et qui vous est hostile, a un désavantage aux jets d'attaque effectué contre une cible autre que vous, ou tout personnage avec cette capacité. Un ennemi est immunisé à cet effet s'il ne peut pas vous voir ou vous entendre ou qu'il ne peut pas être effrayé."
  },
"BARD-Inspiration bardique":  {
 "Code" : "Inspiration bardique",
 "Class" : "BARD",
 "Specialisation" : "","UseNumber" : -1,
 "Description" : "Vous pouvez inspirer les autres en maniant les mots ou la musique. Pour ce faire, utilisez une action bonus à votre tour pour choisir une créature autre que vous-même dans un rayon de 18 mètres autour de vous et qui peut vous entendre. Cette créature gagne un dé d'Inspiration bardique (d6). Une fois dans les 10 minutes suivantes, la créature peut lancer le dé et ajouter le nombre obtenu à un jet de caractéristique, d'attaque ou de sauvegarde qu'elle vient de faire. La créature peut attendre de voir le résultat de jet de caractéristique, d'attaque ou de sauvegarde avant de décider d'appliquer le dé d'Inspiration bardique, mais elle doit se décider avant que le MD ne dise si le jet est un succès ou un échec. Une fois le dé d'Inspiration bardique lancé, il est consommé. Une créature ne peut avoir qu'un seul dé d'Inspiration bardique à la fois.  Vous pouvez utiliser cette capacité un nombre de fois égal à votre modificateur de Charisme (minimum 1). Vous regagnez vos dés d'Inspiration bardique après avoir terminé un repos long. Votre dé d'Inspiration bardique change lorsque vous atteignez certains niveaux dans cette classe. Le dé passe à un d8 au niveau 5, un d10 au niveau 10, et un d12 au niveau 15."
  },
"BARD-Touche-à-tout":  {
 "Code" : "Touche-à-tout",
 "Class" : "BARD",
 "Specialisation" : "","UseNumber" : -1,
 "Description" : "À partir du niveau 2, vous pouvez ajouter la moitié de votre bonus de maîtrise (arrondi au chiffre inférieur) à tout jet de caractéristique qui n'applique pas déjà votre bonus de maîtrise."
  },
"BARD-Chant de repos":  {
 "Code" : "Chant de repos",
 "Class" : "BARD",
 "Specialisation" : "","UseNumber" : -1,
 "Description" : "À partir du niveau 2, vous pouvez utiliser de la musique ou une oraison apaisante lors d'un repos court pour aider à revitaliser vos alliés blessés. Si vous ou toutes créatures amies qui peuvent entendre votre représentation récupérez des points de vie à la fin du repos court en dépensant un ou plusieurs dés de vie, chacune de ces créatures récupère 1d6 points de vie supplémentaires.  Les points de vie supplémentaires augmentent lorsque vous atteignez certains niveaux dans cette classe : 1d8 au niveau 9, 1d10 au niveau 13 et 1d12 au niveau 17."
  },
"BARD-Expertise":  {
 "Code" : "Expertise",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
"BARD-Collège bardique":  {
 "Code" : "Collège bardique",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
"BARD-Amélioration de caractéristiques":  {
 "Code" : "Amélioration de caractéristiques",
 "Class" : "BARD",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"BARD-Source d'inspiration":  {
 "Code" : "Source d'inspiration",
 "Class" : "BARD",
 "Specialisation" : "","UseNumber" : -1,
 "Description" : "À partir du niveau 5, vous regagnez vos Inspirations bardiques utilisées lorsque vous terminez un repos court ou long."
  },
"BARD-Contre charme":  {
 "Code" : "Contre charme",
 "Class" : "BARD",
 "Specialisation" : "","UseNumber" : -1,
 "Description" : "Au niveau 6, vous gagnez la possibilité d'utiliser des notes de musique ou des mots de pouvoir pour perturber les effets qui affectent la pensée. Par une action, vous pouvez commencer une représentation qui durera jusqu'à la fin de votre prochain tour. Pendant ce temps, vous et toute créature amie dans un rayon de 9 mètres autour de vous avez l'avantage aux jets de sauvegarde pour ne pas être effrayé ou charmé. Une créature doit être en mesure de vous entendre pour obtenir cet avantage. La représentation se termine plus tôt si vous êtes incapable d'agir ou réduit au silence, ou si vous y mettez volontairement un terme (aucune action n'est requise pour cela)."
  },
"BARD-Secrets magiques":  {
 "Code" : "Secrets magiques",
 "Class" : "BARD",
 "Specialisation" : "","UseNumber" : -1,
 "Description" : "Au niveau 10, vous avez récupéré des connaissances magiques à partir d'un large éventail de disciplines. Choisissez deux sorts de n'importe quelles classes, y compris de barde. Les sorts choisis doivent être d'un niveau que vous pouvez lancer, comme le montre la table du barde, ou être des sorts mineurs. Les sorts choisis comptent comme des sorts de barde pour vous, et comptent dans la colonne des Sorts connus de la table du barde.  Vous apprenez deux sorts supplémentaires de n'importe quelles classes au niveau 14 puis à nouveau au niveau 18."
  },
"BARD-Inspiration supérieure":  {
 "Code" : "Inspiration supérieure",
 "Class" : "BARD",
 "Specialisation" : "","UseNumber" : -1,
 "Description" : "Au niveau 20, quand vous jetez l'initiative et n'avez plus d'Inspiration bardique, vous regagnez une utilisation."
  },
"KNOWLEDGE_SCHOOL-Maîtrises supplémentaires":  {
 "Code" : "Maîtrises supplémentaires",
 "Class" : "BARD",
 "Specialisation" : "KNOWLEDGE_SCHOOL","Stats" : true,
 "Description" : "Lorsque vous rejoignez le collège du savoir au niveau 3, vous gagnez la maîtrise des trois compétences de votre choix."
  },
"KNOWLEDGE_SCHOOL-Mots cinglants":  {
 "Code" : "Mots cinglants",
 "Class" : "BARD",
 "Specialisation" : "KNOWLEDGE_SCHOOL","UseNumber" : -1,
 "Description" : "Également au niveau 3, vous apprenez à utiliser votre esprit pour détourner l'attention ou semer la confusion, ainsi qu'à saper la confiance et la compétence des autres. Quand une créature que vous pouvez voir dans un rayon de 18 mètres autour de vous fait un jet d'attaque, de caractéristique ou de dégâts, vous pouvez utiliser votre réaction pour dépenser une utilisation d'Inspiration bardique et soustraire votre jet du résultat de la cible. Vous pouvez choisir d'utiliser cette capacité après que la créature ait fait son jet, mais vous devez le faire avant que le MD ne dise si son jet est un succès ou un échec, ou avant que la créature inflige ses dégâts. La créature est immunisée si elle ne peut pas vous entendre ou si les charmes ne l'affectent pas."
  },
"KNOWLEDGE_SCHOOL-Secrets magiques supplémentaires":  {
 "Code" : "Secrets magiques supplémentaires",
 "Class" : "BARD",
 "Specialisation" : "KNOWLEDGE_SCHOOL","UseNumber" : -1,
 "Description" : "Au niveau 6, vous apprenez deux sorts de votre choix de n'importe quelle classe. Les sorts choisis doivent être d'un niveau que vous pouvez lancer, comme le montre la table du barde, ou être des sorts mineurs. Les sorts choisis comptent comme des sorts de barde pour vous, mais ne comptent pas pour le nombre de sorts de barde connus."
  },
"KNOWLEDGE_SCHOOL-Compétence hors pair":  {
 "Code" : "Compétence hors pair",
 "Class" : "BARD",
 "Specialisation" : "KNOWLEDGE_SCHOOL","UseNumber" : -1,
 "Description" : "À partir du niveau 14, quand vous faites un jet de caractéristique, vous pouvez utiliser une Inspiration bardique. Lancez le dé d'Inspiration bardique et ajoutez le résultat à votre jet de caractéristique. Vous pouvez choisir de le faire après avoir fait votre jet de votre caractéristique, mais vous devez le faire avant que le MD ne vous indique si vous réussissez ou échouez."
  },
"BRAVERY_SCHOOL-Maîtrises supplémentaires":  {
 "Code" : "Maîtrises supplémentaires",
 "Class" : "BARD",
 "Specialisation" : "BRAVERY_SCHOOL","Stats" : true,
 "Description" : "Lorsque vous rejoignez le collège de la vaillance au niveau 3, vous gagnez la maîtrise des armures intermédiaires, des boucliers et des armes de guerre."
  },
"BRAVERY_SCHOOL-Inspiration martiale":  {
 "Code" : "Inspiration martiale",
 "Class" : "BARD",
 "Specialisation" : "BRAVERY_SCHOOL","UseNumber" : -1,
 "Description" : "Également au niveau 3, vous apprenez à inspirer les autres dans la bataille. Une créature qui a un dé d'Inspiration bardique de votre part peut jeter ce dé et ajouter le résultat au jet de dégâts d'une arme qu'elle vient de faire. Ou bien, quand un jet d'attaque est fait contre cette créature, elle peut utiliser sa réaction pour jeter le dé d'Inspiration bardique et ajouter le résultat à sa CA contre cette attaque, après avoir vu le jet mais avant de savoir si elle touche ou non."
  },
"BRAVERY_SCHOOL-Attaque supplémentaire":  {
 "Code" : "Attaque supplémentaire",
 "Class" : "BARD",
 "Specialisation" : "BRAVERY_SCHOOL","UseNumber" : -1,
 "Description" : "À partir de niveau 6, vous pouvez attaquer deux fois, au lieu d'une seule, chaque fois que vous réalisez l’action Attaquer durant votre tour."
  },
"BRAVERY_SCHOOL-Magie de combat":  {
 "Code" : "Magie de combat",
 "Class" : "BARD",
 "Specialisation" : "BRAVERY_SCHOOL","UseNumber" : -1,
 "Description" : "Au niveau 14, vous maîtrisez l'art de tisser les sorts et d'utiliser une arme en un seul acte harmonieux. Lorsque vous utilisez votre action pour lancer un sort de barde, vous pouvez faire une attaque avec une arme en tant qu'action bonus."
  },
"CLERK-Canalisation d’énergie divine":  {
 "Code" : "Canalisation d’énergie divine",
 "Class" : "CLERK",
 "Specialisation" : "","UseNumber" : -1,
 "Description" : "Au niveau 2, vous gagnez la possibilité de canaliser l'énergie divine directement depuis votre divinité et d'utiliser cette énergie pour alimenter des effets magiques. Vous commencez avec deux effets : Renvoi des morts-vivants et un effet déterminé par votre domaine. Certains domaines vous accordent des effets supplémentaires lorsque vous montez de niveau, comme indiqué dans la description du domaine. Lorsque vous utilisez votre Canalisation d'énergie divine, vous choisissez quel effet créer. Vous devez ensuite terminer un repos court ou long pour pouvoir utiliser votre Canalisation d'énergie divine de nouveau.  Certains effets de la Canalisation d'énergie divine demandent un jet de sauvegarde. Lorsque vous utilisez un tel effet de cette classe, le DD est égal au DD de vos sorts de clerc.  À partir du niveau 6, vous pouvez utiliser votre Canalisation d'énergie divine deux fois entre deux repos, et à partir du niveau 18, vous pouvez l'utiliser trois fois entre deux repos. Lorsque vous terminez un repos court ou long, vous regagnez vos utilisations dépensées."
  },
"CLERK-Canalisation d’énergie divine : renvoi des morts-vivants":  {
 "Code" : "Canalisation d’énergie divine : renvoi des morts-vivants",
 "Class" : "CLERK",
 "Specialisation" : "","UseNumber" : -1,
 "Description" : "Au prix d'une action, vous présentez votre symbole sacré en psalmodiant une prière contre les morts-vivants. Chaque mort-vivant qui peut vous voir ou vous entendre et qui se trouve à 9 mètres ou moins de vous doit effectuer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utiliser de réactions et peut utiliser ses actions seulement pour Foncer ou essayer de s'échapper d'un effet immobilisant. S'il n'y a nulle part où aller, la créature peut utiliser l'action Esquiver."
  },
"CLERK-Domaine divin":  {
 "Code" : "Domaine divin",
 "Class" : "CLERK",
 "Specialisation" : "","Stats" : true,
 "Description" : "Choisissez un domaine lié à votre divinité : duperie, guerre, lumière, nature, savoir, tempête ou vie. Votre choix vous accorde des sorts de domaine et des capacités spéciales dès le niveau 1, puis de nouvelles aux niveaux 6, 8 et 17. Il vous octroie également des manières supplémentaires pour utiliser la Canalisation d’énergie divine du niveau 2."
  },
"CLERK-Amélioration de caractéristiques":  {
 "Code" : "Amélioration de caractéristiques",
 "Class" : "CLERK",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"CLERK-Destruction des morts-vivants":  {
 "Code" : "Destruction des morts-vivants",
 "Class" : "CLERK",
 "Specialisation" : "","UseNumber" : -1,
 "Description" : "À partir du niveau 5, quand un mort-vivant rate son jet de sauvegarde contre votre capacité de Renvoi des morts-vivants, la créature est immédiatement détruite si son FP est égal ou inférieur à un certain seuil, comme indiqué dans le tableau ci-dessous. Niveau de clerc 5 : FP des morts-vivants détruits 1/2 ou moins Niveau de clerc 8 : FP des morts-vivants détruits 1 ou moins Niveau de clerc 11 : FP des morts-vivants détruits 2 ou moins Niveau de clerc 14 : FP des morts-vivants détruits 3 ou moins Niveau de clerc 17 : FP des morts-vivants détruits 4 ou moins"
  },
"CLERK-Intervention divine":  {
 "Code" : "Intervention divine",
 "Class" : "CLERK",
 "Specialisation" : "","UseNumber" : -1,
 "Description" : "À partir du niveau 10, vous pouvez faire appel à votre divinité pour qu'elle intervienne en cas de besoin réel. Implorer l'aide de votre divinité vous oblige à utiliser votre action. Décrivez l'aide que vous recherchez, et lancez 1d100. Si vous obtenez un nombre égal ou inférieur à votre niveau de clerc, votre divinité intervient. Le MD choisit la nature de l'intervention ; l'effet d'un sort de clerc ou d'un sort de domaine est approprié. Si votre divinité intervient, vous ne pouvez plus utiliser cette capacité durant les 7 prochains jours. Dans le cas contraire, vous pouvez l'utiliser à nouveau après avoir terminé un repos long.  Au niveau 20, l'appel à votre divinité réussit automatiquement ; aucun jet n'est nécessaire."
  },
"DECEPTION_FIELD-Bénédiction de l'escroc":  {
 "Code" : "Bénédiction de l'escroc",
 "Class" : "CLERK",
 "Specialisation" : "DECEPTION_FIELD","UseNumber" : -1,
 "Description" : "À partir du niveau 1, vous pouvez utiliser votre action pour toucher une créature consentante (autre que vous-même) et lui donner un avantage aux jets de Dextérité (Discrétion). Cette bénédiction dure pendant 1 heure, ou jusqu'à ce que vous utilisiez cette capacité à nouveau."
  },
"DECEPTION_FIELD-Canalisation d’énergie divine : invocation de duplicata":  {
 "Code" : "Canalisation d’énergie divine : invocation de duplicata",
 "Class" : "CLERK",
 "Specialisation" : "DECEPTION_FIELD","UseNumber" : -1,
 "Description" : "À partir du niveau 2, vous pouvez utiliser votre Canalisation d'énergie divine pour créer une copie illusoire de vous-même. Par une action, vous créez une illusion parfaite de vous-même qui dure pendant 1 minute, ou jusqu'à ce que vous perdiez votre concentration (comme si vous étiez concentré sur un sort). L'illusion apparaît dans un espace inoccupé que vous pouvez voir dans un rayon de 9 mètres autour de vous. Par une action bonus à votre tour, vous pouvez déplacer l'illusion jusqu'à 9 mètres, dans un espace que vous pouvez, et sans l'éloigner de plus de 36 mètres de vous. Durant ce temps, vous pouvez lancer des sorts comme si vous étiez dans l'espace de l'illusion, mais vous devez utiliser vos propres sens. En outre, lorsque vous et votre illusion êtes à 1,50 mètre ou moins d'une créature qui peut voir l'illusion, vous avez l'avantage aux jets d'attaque contre cette créature, l'illusion distrayant la cible."
  },
"DECEPTION_FIELD-Canalisation d’énergie divine : linceul d'ombre":  {
 "Code" : "Canalisation d’énergie divine : linceul d'ombre",
 "Class" : "CLERK",
 "Specialisation" : "DECEPTION_FIELD","UseNumber" : -1,
 "Description" : "À partir du niveau 6, vous pouvez utiliser votre Canalisation d'énergie divine pour disparaître. Par une action, vous devenez invisible jusqu'à la fin de votre prochain tour. Vous redevenez visible si vous attaquez ou lancez un sort."
  },
"DECEPTION_FIELD-Frappe divine":  {
 "Code" : "Frappe divine",
 "Class" : "CLERK",
 "Specialisation" : "DECEPTION_FIELD","UseNumber" : -1,
 "Description" : "Au niveau 8, vous gagnez la possibilité d’imprégner votre arme de poison, un cadeau de votre divinité. Une fois à chacun de vos tours, lorsque vous touchez une créature avec une attaque d'arme, vous pouvez infliger 1d8 dégâts de poison supplémentaires. Lorsque vous atteignez le niveau 14, les dégâts supplémentaires passent à 2d8."
  },
"DECEPTION_FIELD-Duplicata amélioré":  {
 "Code" : "Duplicata amélioré",
 "Class" : "CLERK",
 "Specialisation" : "DECEPTION_FIELD","UseNumber" : -1,
 "Description" : "Au niveau 17, vous pouvez créer jusqu'à quatre doublons de vous-même, au lieu d'un, lorsque vous utilisez Invocation de duplicata. Par une action bonus à votre tour, vous pouvez déplacer un certain nombre d'entre eux jusqu'à 9 mètres, et sans les éloigner de plus de 36 mètres de vous."
  },
"WAR_FIELD-Maîtrises supplémentaires":  {
 "Code" : "Maîtrises supplémentaires",
 "Class" : "CLERK",
 "Specialisation" : "WAR_FIELD","Stats" : true,
 "Description" : "Au niveau 1, vous gagnez la maîtrise des armes de guerres et des armures lourdes."
  },
</v>
      </c>
    </row>
    <row r="445" spans="1:9">
      <c r="A445" s="55"/>
      <c r="B445" s="18"/>
      <c r="I445" t="str">
        <f>CONCATENATE(I90,",
",I91,",
",I92,",
",I93,",
",I94,",
",I95,",
",I96,",
",I97,",
",I98,",
",I99,",
",I100,",
",I101,",
",I102,",
",I103,",
",I104,",
",I105,",
",I106,",
",I107,",
",I108,",
",I109,",
",I110,",
",I111,",
",I112,",
",I113,",
",I114,",
",I115,",
",I116,",
",I117,",
",I118,",
",I119,",
",I120,",
",I121,",
",I122,",
",I123,",
",I124,",
",I125,",
",I126,",
",I127,",
",I128,",
",I129,",
",I130,",
",I131,",
",I132,",
",I133,",
",I134,",
",I135,",
",I136,",
",I137,",
",I138,",
",I139,",
",I140,",
",I141,",
")</f>
        <v xml:space="preserve">"WAR_FIELD-Prêtre de guerre":  {
 "Code" : "Prêtre de guerre",
 "Class" : "CLERK",
 "Specialisation" : "WAR_FIELD","UseNumber" : -1,
 "Description" : "À partir du niveau 1, votre dieu vous inspire lors des combats. Lorsque vous utilisez l’action Attaquer, vous pouvez faire une attaque avec une arme en tant qu’action bonus. Vous pouvez utiliser cette capacité un nombre de fois égal à votre modificateur de Sagesse (minimum 1). Vous regagnez les attaques utilisées à la fin d’un repos long."
  },
"WAR_FIELD-Canalisation d’énergie divine : frappe guidée":  {
 "Code" : "Canalisation d’énergie divine : frappe guidée",
 "Class" : "CLERK",
 "Specialisation" : "WAR_FIELD","UseNumber" : -1,
 "Description" : "À partir du niveau 2, vous pouvez utiliser votre Canalisation d'énergie divine pour frapper avec une grande précision. Lorsque vous faites un jet d’attaque, vous pouvez utilisez votre Canalisation d'énergie divine pour gagner un bonus de +10 au jet. Vous pouvez décider d’utiliser cette capacité après avoir vu le résultat du jet, mais avant que le MD ne vous en donne le résultat."
  },
"WAR_FIELD-Canalisation d’énergie divine : bénédiction du dieu de la guerre":  {
 "Code" : "Canalisation d’énergie divine : bénédiction du dieu de la guerre",
 "Class" : "CLERK",
 "Specialisation" : "WAR_FIELD","UseNumber" : -1,
 "Description" : "Au niveau 6, lorsqu'une créature dans un rayon de 9 mètres autour de vous fait un jet d’attaque, vous pouvez utiliser votre réaction pour faire bénéficier cette créature d’un bonus de +10 à son jet, en utilisant votre Canalisation d'énergie divine. Vous pouvez choisir d’utiliser cette compétence après avoir vu le résultat du jet, mais vous devez le faire avant que le MD ne dise si l’attaque a réussi ou échoué."
  },
"WAR_FIELD-Frappe divine":  {
 "Code" : "Frappe divine",
 "Class" : "CLERK",
 "Specialisation" : "WAR_FIELD","UseNumber" : -1,
 "Description" : "Au niveau 8, vous gagnez la possibilité d’imprégner votre arme d’énergie divine. Une fois à chacun de vos tours, lorsque vous touchez une créature avec une attaque d'arme, vous pouvez infliger 1d8 dégâts supplémentaires du même type que celui de votre arme. Lorsque vous atteignez le niveau 14, les dégâts supplémentaires passent à 2d8."
  },
"WAR_FIELD-Avatar de bataille":  {
 "Code" : "Avatar de bataille",
 "Class" : "CLERK",
 "Specialisation" : "WAR_FIELD","UseNumber" : -1,
 "Description" : "Au niveau 17, vous obtenez la résistance aux dégâts contondants, perforants et tranchants de toute arme non magique."
  },
"LIGHT_FIELD-Sort mineur supplémentaire":  {
 "Code" : "Sort mineur supplémentaire",
 "Class" : "CLERK",
 "Specialisation" : "LIGHT_FIELD","Stats" : true,
 "Description" : "Lorsque vous choisissez ce domaine au niveau 1, vous gagnez le sort mineur lumière si vous ne le connaissez pas déjà."
  },
"LIGHT_FIELD-Illumination protectrice":  {
 "Code" : "Illumination protectrice",
 "Class" : "CLERK",
 "Specialisation" : "LIGHT_FIELD","UseNumber" : -1,
 "Description" : "Au niveau 1, vous pouvez interposer une lumière divine entre vous et un ennemi qui attaque. Lorsque vous êtes attaqué par une créature située à 9 mètres ou moins de vous et que vous pouvez voir, vous pouvez utiliser votre réaction pour imposer un désavantage à son jet d'attaque, en faisant éclater une lumière avant qu'il touche ou rate. Un attaquant qui ne peut pas être aveuglé est immunisé face à cette capacité. Vous pouvez utiliser cette capacité un nombre de fois égal à votre modificateur de Sagesse (minimum une fois). Vous en retrouver toutes les utilisations dépensées lorsque vous terminez un repos long."
  },
"LIGHT_FIELD-Canalisation d’énergie divine : radiance de l'aube":  {
 "Code" : "Canalisation d’énergie divine : radiance de l'aube",
 "Class" : "CLERK",
 "Specialisation" : "LIGHT_FIELD","UseNumber" : -1,
 "Description" : "À partir du niveau 2, vous pouvez utiliser votre Canalisation d'énergie divine pour exploiter la lumière du soleil, bannissant les ténèbres et infligeant des dégâts radiants à vos ennemis. Par une action, vous présentez votre symbole sacré et toutes les ténèbres magiques dans un rayon de 9 mètres autour de vous sont dissipées. En outre, chaque créature hostile dans un rayon de 9 mètres autour de vous doit réaliser un jet de sauvegarde de Constitution. Une créature prend 2d10 + votre niveau de clerc dégâts radiants en cas d'échec, ou la moitié de ces dégâts en cas de réussite. Une créature qui dispose d'une couverture totale vis à vis de vous n'est pas affectée."
  },
"LIGHT_FIELD-Illumination améliorée":  {
 "Code" : "Illumination améliorée",
 "Class" : "CLERK",
 "Specialisation" : "LIGHT_FIELD","UseNumber" : -1,
 "Description" : "À partir du niveau 6, vous pouvez également utiliser votre capacité de Illumination protectrice quand une créature que vous pouvez voir et située à 9 mètres ou moins de vous attaque une créature autre que vous-même."
  },
"LIGHT_FIELD-Incantation puissante":  {
 "Code" : "Incantation puissante",
 "Class" : "CLERK",
 "Specialisation" : "LIGHT_FIELD","UseNumber" : -1,
 "Description" : "À partir du niveau 8, vous ajoutez votre modificateur de Sagesse aux dégâts que vous infligez avec n'importe quel sort mineur de clerc."
  },
"LIGHT_FIELD-Halo de lumière":  {
 "Code" : "Halo de lumière",
 "Class" : "CLERK",
 "Specialisation" : "LIGHT_FIELD","UseNumber" : -1,
 "Description" : "À partir du niveau 17, vous pouvez utiliser votre action pour activer une aura de lumière du soleil qui dure pendant 1 minute, ou jusqu'à ce que vous la rejetiez à l'aide d'une autre action. Vous émettez une lumière vive dans un rayon de 18 mètres, et une lumière faible sur 9 mètres supplémentaires. Vos ennemis dans la zone de lumière vive ont un désavantage aux jets de sauvegarde contre tout sort qui inflige des dégâts de feu ou des dégâts radiants."
  },
"NATURE_FIELD-Acolyte de la nature":  {
 "Code" : "Acolyte de la nature",
 "Class" : "CLERK",
 "Specialisation" : "NATURE_FIELD","Stats" : true,
 "Description" : "Au niveau 1, vous apprenez un sort mineur de druide de votre choix. Vous gagnez également la maîtrise d'une des compétences suivantes de votre choix : Dressage, Nature ou Survie."
  },
"NATURE_FIELD-Maîtrise supplémentaire":  {
 "Code" : "Maîtrise supplémentaire",
 "Class" : "CLERK",
 "Specialisation" : "NATURE_FIELD","Stats" : true,
 "Description" : "Au niveau 1 également, vous gagnez la maîtrise des armures lourdes."
  },
"NATURE_FIELD-Canalisation d’énergie divine : charme des animaux et des plantes":  {
 "Code" : "Canalisation d’énergie divine : charme des animaux et des plantes",
 "Class" : "CLERK",
 "Specialisation" : "NATURE_FIELD","UseNumber" : -1,
 "Description" : "À partir du niveau 2, vous pouvez utiliser votre Canalisation d'énergie divine pour charmer des animaux et de plantes. Par une action, vous présentez votre symbole sacré et invoquez le nom de votre divinité. Chaque créature du type bête ou plante qui peut vous voir et qui se situe dans un rayon de 9 mètres autour de vous doit réaliser un jet de sauvegarde de Sagesse. Si la créature rate son jet de sauvegarde, vous la charmez pendant 1 minute, ou jusqu'à ce qu'elle subisse des dégâts. Tant que vous la charmez, elle est amicale envers vous et toutes autres créatures que vous désignez."
  },
"NATURE_FIELD-Atténuation des éléments":  {
 "Code" : "Atténuation des éléments",
 "Class" : "CLERK",
 "Specialisation" : "NATURE_FIELD","UseNumber" : -1,
 "Description" : "À partir du niveau 6, lorsque vous ou une créature située à 9 mètres ou moins de vous prend des dégâts d'acide, de froid, de feu, de foudre ou de tonnerre, vous pouvez utiliser votre réaction pour accorder à la créature une résistance à ce type de dégâts."
  },
"NATURE_FIELD-Frappe divine":  {
 "Code" : "Frappe divine",
 "Class" : "CLERK",
 "Specialisation" : "NATURE_FIELD","UseNumber" : -1,
 "Description" : "Au niveau 8, vous gagnez la possibilité d’imprégner votre arme d’énergie divine. Une fois à chacun de vos tours, lorsque vous touchez une créature avec une attaque d'arme, vous pouvez infliger 1d8 dégâts supplémentaires de froid, de feu ou de foudre (selon votre choix) à la cible. Lorsque vous atteignez le niveau 14, les dégâts supplémentaires passent à 2d8."
  },
"NATURE_FIELD-Maître de la nature":  {
 "Code" : "Maître de la nature",
 "Class" : "CLERK",
 "Specialisation" : "NATURE_FIELD","UseNumber" : -1,
 "Description" : "Au niveau 17, vous gagnez la possibilité de commander les animaux et les créatures végétales. Lorsque des créatures sont charmées par votre capacité de Charme des animaux et des plantes, vous pouvez utiliser une action bonus à votre tour pour commander verbalement ces créatures et leur indiquer ce qu'elles doivent faire durant leur prochain tour."
  },
"KNOWLEDGE_FIELD-Bénédictions du savoir":  {
 "Code" : "Bénédictions du savoir",
 "Class" : "CLERK",
 "Specialisation" : "KNOWLEDGE_FIELD","Stats" : true,
 "Description" : "Au niveau 1, vous apprenez deux langues de votre choix. Vous obtenez aussi la maîtrise de deux compétences de votre choix parmi les suivantes : Arcanes, Histoire, Nature ou Religion. Votre bonus de maîtrise est doublé pour les jets de caractéristiques utilisant une de ces compétences."
  },
"KNOWLEDGE_FIELD-Canalisation d’énergie divine : connaissances du passé":  {
 "Code" : "Canalisation d’énergie divine : connaissances du passé",
 "Class" : "CLERK",
 "Specialisation" : "KNOWLEDGE_FIELD","UseNumber" : -1,
 "Description" : "À partir du niveau 2, vous pouvez utiliser votre Canalisation d'énergie divine pour tirer profit d'un puits de connaissance divine. Au prix d’une action, vous choisissez une compétence ou un outil. Pendant 10 minutes, vous obtenez la maîtrise de la compétence ou de l'outil choisi."
  },
"KNOWLEDGE_FIELD-Canalisation d’énergie divine : lecture des pensées":  {
 "Code" : "Canalisation d’énergie divine : lecture des pensées",
 "Class" : "CLERK",
 "Specialisation" : "KNOWLEDGE_FIELD","UseNumber" : -1,
 "Description" : "Au niveau 6, vous pouvez utiliser votre Canalisation d'énergie divine pour lire les pensées d’une créature. Vous pouvez ensuite avoir accès à l’esprit de la créature et la commander. Par une action, choisissez une créature que vous pouvez voir située à 18 mètres ou moins de vous. La créature doit effectuer un jet de sauvegarde de Sagesse. Si la créature le réussi, vous ne pouvez réutiliser cette capacité sur la créature qu’après avoir terminé un repos long. Si la créature échoue, vous pouvez lire la surface de ses pensées (celles les plus en vue dans son esprit, représentant ses émotions et ce à quoi elle pense actuellement) lorsqu’elle est à 18 mètres ou moins de vous. Cet effet dure une minute. Pendant cette durée, vous pouvez utiliser votre action pour mettre fin à cet effet et lancer le sort suggestion à la créature sans consommer d’emplacement de sort. La créature échoue automatiquement son jet de sauvegarde contre ce sort."
  },
"KNOWLEDGE_FIELD-Incantation puissante":  {
 "Code" : "Incantation puissante",
 "Class" : "CLERK",
 "Specialisation" : "KNOWLEDGE_FIELD","UseNumber" : -1,
 "Description" : "À partir du niveau 8, vous ajoutez votre modificateur de Sagesse aux dégâts que vous infligez avec tous sorts mineurs de clerc."
  },
"KNOWLEDGE_FIELD-Visions du passé":  {
 "Code" : "Visions du passé",
 "Class" : "CLERK",
 "Specialisation" : "KNOWLEDGE_FIELD","UseNumber" : -1,
 "Description" : "À partir du niveau 17, vous pouvez rappeler les visions du passé en relation avec un objet que vous tenez, ou proche de vous. Vous passez au moins une minute à prier et à méditer, puis vous recevez sous forme de rêve de vagues aperçus des événements récents. Vous pouvez méditer de cette manière un nombre de minutes égal votre valeur de Sagesse et devez maintenir votre concentration comme pour lancer un sort. Une fois que vous avez utilisé cette capacité, vous ne pouvez plus l’utiliser jusqu’à ce vous terminiez un repos court ou long.  Lecture d'un objet. Si vous tenez un objet lorsque vous méditez, vous pouvez voir des visions de son précédent propriétaire. Après 1 minute de médiation, vous apprenez comment son propriétaire a acquis et perdu l’objet, ainsi que les événements importants les plus récents concernant cet objet et ce propriétaire. Si l’objet a appartenu à une autre créature dans un passé récent (un nombre de jours égal à votre valeur de Sagesse), vous pouvez passer 1 minute supplémentaire pour chaque possesseur de l’objet afin d’apprendre les mêmes informations sur ces créatures.  Lecture d'une zone. Pendant que vous méditez, vous observez des visions des environs proches (une salle, une rue, un tunnel, une clairière ou autre, d’une taille maximale d’un cube de 15 mètres d’arrête) jusqu'à un nombre de jours passés égal à votre valeur de Sagesse. Pour chaque minute passée à méditer, vous apprenez des informations sur un événement important, en commençant par le plus récent. Ces événements incluent de fortes émotions telles que des batailles ou des trahisons, mariages ou meurtres, naissances et funérailles. Cependant, ils peuvent aussi inclure des événements sans importance qui sont néanmoins important dans votre situation actuelle."
  },
"STORM_FIELD-Maîtrises supplémentaires":  {
 "Code" : "Maîtrises supplémentaires",
 "Class" : "CLERK",
 "Specialisation" : "STORM_FIELD","Stats" : true,
 "Description" : "Au niveau 1, vous gagnez la maîtrise des armes de guerres et des armures lourdes."
  },
"STORM_FIELD-Fureur de l'ouragan":  {
 "Code" : "Fureur de l'ouragan",
 "Class" : "CLERK",
 "Specialisation" : "STORM_FIELD","UseNumber" : -1,
 "Description" : "Au niveau 1 également, vous pouvez réprimander vos attaquants avec la puissance du tonnerre. Lorsqu’une créature que vous pouvez voir dans un rayon de 1,50 mètre autour de vous vous touche, vous pouvez utiliser votre réaction pour obliger l’attaquant à effectuer un jet de sauvegarde de Dextérité. En cas d’échec, la créature subit 2d8 dégâts de foudre ou de tonnerre (selon votre choix), ou la moitié en cas de réussite. Vous pouvez utiliser cette capacité un nombre de fois égal à votre modificateur de Sagesse (minimum 1). Vous regagnez toutes vos charges après un repos long."
  },
"STORM_FIELD-Canalisation d’énergie divine : colère destructrice":  {
 "Code" : "Canalisation d’énergie divine : colère destructrice",
 "Class" : "CLERK",
 "Specialisation" : "STORM_FIELD","UseNumber" : -1,
 "Description" : "A partir du niveau 2, vous pouvez utiliser votre Canalisation d'énergie divine pour manier la puissance de la tempête avec une férocité incontrôlée. Lorsque vous infligez des dégâts de foudre ou de tonnerre, vous pouvez utiliser votre Canalisation d'énergie divine pour effectuer des dégâts maximum au lieu de lancer des dés."
  },
"STORM_FIELD-Frappe de l'éclair":  {
 "Code" : "Frappe de l'éclair",
 "Class" : "CLERK",
 "Specialisation" : "STORM_FIELD","UseNumber" : -1,
 "Description" : "Au niveau 6, lorsque vous infligez des dégâts de foudre à une créature de taille G ou inférieure, vous pouvez également la repousser à 3 mètres de vous."
  },
"STORM_FIELD-Frappe divine":  {
 "Code" : "Frappe divine",
 "Class" : "CLERK",
 "Specialisation" : "STORM_FIELD","UseNumber" : -1,
 "Description" : "Au niveau 8, vous gagnez la possibilité d’imprégner votre arme d’énergie divine. Une fois à chacun de vos tours, lorsque vous touchez une créature avec une attaque d'arme, vous pouvez infliger 1d8 dégâts de tonnerre supplémentaires. Lorsque vous atteignez le niveau 14, les dégâts supplémentaires passent à 2d8."
  },
"STORM_FIELD-Fils de la tempête":  {
 "Code" : "Fils de la tempête",
 "Class" : "CLERK",
 "Specialisation" : "STORM_FIELD","UseNumber" : -1,
 "Description" : "Au niveau 17, vous obtenez une vitesse de vol égale à votre vitesse de déplacement tant que vous n’êtes ni sous terre, ni dans un intérieur."
  },
"LIFE_FIELD-Maîtrise supplémentaire":  {
 "Code" : "Maîtrise supplémentaire",
 "Class" : "CLERK",
 "Specialisation" : "LIFE_FIELD","Stats" : true,
 "Description" : "Lorsque vous choisissez ce domaine, au niveau 1, vous gagnez la maîtrise des armures lourdes."
  },
"LIFE_FIELD-Disciple de la vie":  {
 "Code" : "Disciple de la vie",
 "Class" : "CLERK",
 "Specialisation" : "LIFE_FIELD","UseNumber" : -1,
 "Description" : "À partir du niveau 1, vos sorts de soins sont plus efficaces. Chaque fois que vous utilisez un sort de niveau 1 ou supérieur pour redonner des points de vie à une créature, la créature regagne un nombre de points de vie additionnel égal à 2 + le niveau du sort."
  },
"LIFE_FIELD-Canalisation d’énergie divine : préservation de la vie":  {
 "Code" : "Canalisation d’énergie divine : préservation de la vie",
 "Class" : "CLERK",
 "Specialisation" : "LIFE_FIELD","UseNumber" : -1,
 "Description" : "À partir du niveau 2, vous pouvez utiliser votre Canalisation d'énergie divine pour soigner des blessures graves. Au prix d'une action, vous présentez votre symbole sacré et invoquez une énergie curative qui redonne un montant de points de vie égal à 5 fois votre niveau de clerc. Choisissez une ou plusieurs créatures à 9 mètres ou moins de vous, et divisez ces points entre elles. Cette capacité ne peut pas ramener une créature à plus de 50% de ses points de vie maximums, et elle ne fonctionne pas sur les morts-vivants et les créatures artificielles."
  },
"LIFE_FIELD-Guérisseur béni":  {
 "Code" : "Guérisseur béni",
 "Class" : "CLERK",
 "Specialisation" : "LIFE_FIELD","UseNumber" : -1,
 "Description" : "À partir du niveau 6, les sorts de guérison que vous lancez sur les autres vous guérissent aussi. Lorsque vous lancez un sort de niveau 1 ou supérieur pour redonner des points de vie à une créature autre que vous-même, vous regagnez un nombre de points de vie égal à 2 + le niveau du sort."
  },
"LIFE_FIELD-Frappe divine":  {
 "Code" : "Frappe divine",
 "Class" : "CLERK",
 "Specialisation" : "LIFE_FIELD","UseNumber" : -1,
 "Description" : "À partir du niveau 8, vous gagnez la possibilité d’imprégner votre arme d'énergie divine. Une fois par tour, lorsque vous touchez une créature avec une attaque armée, vous pouvez infliger 1d8 dégâts radiants supplémentaires à la cible. Lorsque vous atteignez le niveau 14, les dégâts supplémentaires passent à 2d8."
  },
"LIFE_FIELD-Guérison suprême":  {
 "Code" : "Guérison suprême",
 "Class" : "CLERK",
 "Specialisation" : "LIFE_FIELD","UseNumber" : -1,
 "Description" : "À partir du niveau 17, quand vous auriez normalement dû lancer un ou plusieurs dés pour redonner des points de vie avec un sort, appliquez directement le maximum de chaque dé. Par exemple, au lieu de restaurer 2d6 points de vie à une créature, vous restaurez 12."
  },
"FORGE_FIELD-Maîtrise supplémentaire":  {
 "Code" : "Maîtrise supplémentaire",
 "Class" : "CLERK",
 "Specialisation" : "FORGE_FIELD","Stats" : true,
 "Description" : "Au niveau 1, vous gagnez la maîtrise des armures lourdes et des outils de forgeron."
  },
"FORGE_FIELD-Bénédiction de la forge":  {
 "Code" : "Bénédiction de la forge",
 "Class" : "CLERK",
 "Specialisation" : "FORGE_FIELD","UseNumber" : -1,
 "Description" : "Au niveau 1, vous gagnez la capacité d'imprégner une part de magie dans votre arme ou votre armure. À la fin d'un repos long, vous pouvez toucher un objet non magique qui est une armure ou une arme courante ou de guerre. Jusqu'à la fin de votre prochain repos long, si vous ne mourrez pas avant, l'objet devient un objet magique, accordant un bonus de +1 à la CA s'il s'agit d'une armure, ou +1 à l'attaque et aux dégâts si l'objet est une arme. Vous ne pouvez utiliser cette aptitude qu'une fois entre deux repos longs."
  },
"FORGE_FIELD-Canalisation d'énergie divine : bénédiction de l'artisan":  {
 "Code" : "Canalisation d'énergie divine : bénédiction de l'artisan",
 "Class" : "CLERK",
 "Specialisation" : "FORGE_FIELD","UseNumber" : -1,
 "Description" : "À partir du niveau 2, vous pouvez utiliser votre capacité de Canalisation d'énergie divine pour créer des objets simples.  Vous menez un rituel d'une heure qui crée un objet non-magique qui doit être composé en partie de métal : une arme courante ou de guerre, une armure, dix pièces de munitions, un ensemble d'outils ou un autre objet métallique (voir Équipement dans le Manuel des Joueurs pour des exemples d'objets). La création est terminée à la fin de l'heure et se forme dans un espace inoccupé de votre choix sur une surface dans un rayon de 1,50 mètre autour de vous. La chose que vous créez ne peut valoir plus de 100 po. Dans le cadre du rituel, vous devez utiliser du métal, des pièces ou autre, d'une valeur égale au prix de la création. Le métal se transforme irrémédiablement en la création à la fin du rituel, comme par magie, formant même les parties non métalliques de la création. Le rituel peut créer le doublon d'un élément non magique qui contient du métal, comme une clé, si vous possédez l'original pendant le rituel."
  },
"FORGE_FIELD-Âme de la forge":  {
 "Code" : "Âme de la forge",
 "Class" : "CLERK",
 "Specialisation" : "FORGE_FIELD","UseNumber" : -1,
 "Description" : "À partir du niveau 6, votre maîtrise de la forge vous octroie un certain nombre de capacités :  Vous gagnez la résistance aux dégâts de feu Vous gagnez un bonus de +1 à la CA lorsque vous portez une armure lourde"
  },
"FORGE_FIELD-Frappe divine":  {
 "Code" : "Frappe divine",
 "Class" : "CLERK",
 "Specialisation" : "FORGE_FIELD","UseNumber" : -1,
 "Description" : "Au niveau 8, vous gagnez la capacité d'imprégner votre arme de la puissance ardente de la forge. À chacun de vos tours, lorsque vous touchez une créature lors d'une attaque avec une arme, vous pouvez ajouter 1d8 dégâts de feu supplémentaires. À partir du niveau 14, ces dégâts supplémentaires passent à 2d8."
  },
"FORGE_FIELD-Saint de la forge et du feu":  {
 "Code" : "Saint de la forge et du feu",
 "Class" : "CLERK",
 "Specialisation" : "FORGE_FIELD","UseNumber" : -1,
 "Description" : "Au niveau 17, votre affinité pour le feu et le métal devient plus profonde : Vous gagnez l'immunité aux dégâts de feu Tant que vous portez une armure lourde, vous gagnez la résistance aux dégâts contondants, perforants et tranchants provoqués par des attaques non magiques."
  },
"DRUID-Forme sauvage":  {
 "Code" : "Forme sauvage",
 "Class" : "DRUID",
 "Specialisation" : "","UseNumber" : -1,
 "Description" : "À partir du niveau 2, vous pouvez utiliser votre action pour prendre par magie la forme d'une bête que vous avez déjà vue auparavant. Vous pouvez utiliser ce pouvoir deux fois. Vous récupérez les utilisations dépensées après avoir effectué un repos court ou long.  Votre niveau de druide détermine le type de bêtes dont vous pouvez prendre l'apparence, comme indiqué dans la table ci-dessous. Au niveau 2, par exemple, vous pouvez vous transformer en n'importe quelle bête ayant un facteur de puissance de 1/4 ou inférieur et qui n'a ni vitesse de vol ni vitesse de nage.  Niv	FP max	Restrictions	                        Exemple 2	1/4	    Ni vitesse de vol, ni vitesse de nage	Loup 4	1/2	    Pas de vitesse de vol	                Crocodile 8	1	    -	                                    Aigle géant Vous pouvez rester sous forme animale un nombre d'heures égal à la moitié de votre niveau de druide (arrondi à l'entier inférieur). Une fois le temps écoulé, vous reprenez votre forme normale à moins que vous ne dépensiez une nouvelle utilisation de cette capacité. Vous pouvez également revenir plus tôt à votre forme normale en utilisant une action bonus lors de votre tour. Vous revenez automatiquement à votre forme normale si vous tombez inconscient, si vous tombez à 0 point de vie ou si vous mourrez. Tant que vous êtes transformé, les règles suivantes s'appliquent :  Vos statistiques de jeu sont remplacées par celles de la bête, mais vous conservez votre alignement, votre personnalité et vos valeurs de Charisme, Intelligence et Sagesse. Vous conservez également vos maîtrises de jets de sauvegarde et de compétences, en plus de gagner celles de la créature. Si la créature a les mêmes maîtrises que vous et que son bonus dans ce bloc de statistique est supérieur au vôtre, utilisez son bonus. Si la créature possède des actions légendaires ou des actions de repaire, vous ne pouvez pas les utiliser. Quand vous vous transformez, vous endossez également les points de vie de la bête et ses dés de vie. Lorsque vous reprenez votre forme vous récupérez le nombre de points de vie que vous aviez avant votre transformation. De plus, si vous vous retransformez parce que vous êtes tombé à 0 point de vie, tous les dégâts supplémentaires sont encaissés par les points de vie de votre forme normale. Par exemple, si vous subissez 10 points de dégâts sous forme animale alors que vous n'aviez plus qu'un point de vie, vous retournez à votre forme normale et encaissez 9 points de dégâts. Tant que ces dégâts résiduels ne font pas tomber les points de vie de votre forme normale à 0, vous ne sombrez pas dans l'inconscience. Vous ne pouvez pas lancer de sorts, et votre capacité à parler ou effectuer toute action qui nécessite des mains est limitée aux possibilités qu'offre votre forme animale. Toutefois, vous transformer ne brise pas votre concentration sur un sort que vous aviez déjà lancé, ni ne vous empêche d'utiliser une action pour rediriger un sort, comme le sort appel de la foudre, que vous auriez déjà lancé. Vous conservez les bénéfices de toutes vos capacités de classe, de race, ou de n'importe quelle autre origine, et vous pouvez les utiliser si vous en êtes physiquement capable. Cependant, vous ne pouvez pas utiliser de sens spéciaux, comme la vision dans le noir, sauf si votre forme animale les possède également. Vous choisissez si votre équipement tombe sur le sol, fusionne avec votre nouvelle forme ou est porté par votre nouvelle forme. L'équipement porté fonctionne correctement, mais le MD décide pour chaque pièce d'équipement s'il est possible pour votre nouvelle forme de la porter, en fonction de la morphologie et de la taille de la bête. Votre équipement ne change pas de taille ou de forme pour s'adapter à votre nouvelle forme, et tout l'équipement que la nouvelle forme ne peut pas porter tombe sur le sol ou fusionne avec vous. L'équipement qui fusionne avec la nouvelle forme n'a aucun effet tant que vous restez sous cette forme."
  },
"DRUID-Druidique":  {
 "Code" : "Druidique",
 "Class" : "DRUID",
 "Specialisation" : "","Stats" : true,
 "Description" : "Vous connaissez le druidique, le langage secret des druides. Vous pouvez parler cette langue et l'utiliser pour laisser des messages secrets. Vous, et les autres personnes connaissant ce langage, remarquez automatiquement un tel message. Les autres personnages remarquent la présence du message s'ils réussissent un jet de Sagesse (Perception) DD 15 mais ne peuvent pas le déchiffrer sans utiliser la magie."
  },
"DRUID-Cercle druidique":  {
 "Code" : "Cercle druidique",
 "Class" : "DRUID",
 "Specialisation" : "","Stats" : true,
 "Description" : "Au niveau 2, vous devez choisir à quel cercle de druide vous appartenez : le cercle de la terre ou le cercle de la lune, chacun étant détaillé plus bas. Votre choix vous confère de nouvelles capacités aux niveaux 2, puis 6, 10, et 14."
  },
"DRUID-Amélioration de caractéristiques":  {
 "Code" : "Amélioration de caractéristiques",
 "Class" : "DRUID",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"DRUID-Jeunesse éternelle":  {
 "Code" : "Jeunesse éternelle",
 "Class" : "DRUID",
 "Specialisation" : "","UseNumber" : -1,
 "Description" : "Parvenu au niveau 18, La magie primordiale qui vous parcourt ralentit le vieillissement de votre corps. Vous ne prenez qu'un an d'âge toutes les dix années écoulées."
  },
"DRUID-Incantation animale":  {
 "Code" : "Incantation animale",
 "Class" : "DRUID",
 "Specialisation" : "","UseNumber" : -1,
 "Description" : "À partie du niveau 18, vous pouvez lancer sous forme animale la plupart des sorts que vous connaissez. Vous pouvez réaliser les composantes somatiques et verbales des sorts de druide lorsque vous êtes sous forme animale, mais vous ne pouvez pas lancer de sorts nécessitant une composante matérielle."
  },
"DRUID-Archidruide":  {
 "Code" : "Archidruide",
 "Class" : "DRUID",
 "Specialisation" : "","UseNumber" : -1,
 "Description" : "Au niveau 20, vous pouvez utiliser Forme sauvage un nombre illimité de fois par jour. De plus, vous pouvez ignorer les composantes verbales et somatiques de vos sorts de même que toute composante matérielle non coûteuse qui n'est consommée par le sort. Vous gagnez ces avantages que vous soyez sous forme normale ou animale."
  },
"MOON_GROUP-Forme sauvage de combat":  {
 "Code" : "Forme sauvage de combat",
 "Class" : "DRUID",
 "Specialisation" : "MOON_GROUP","UseNumber" : -1,
 "Description" : "Lorsque vous choisissez ce cercle au niveau 2, vous obtenez la possibilité d'utiliser Forme sauvage durant votre tour par une action bonus, au lieu d'une action. De plus, lorsque vous êtes transformé via Forme sauvage, vous pouvez utiliser une action bonus pour dépenser un emplacement de sort et récupérer ainsi 1d8 points de vie par niveau d'emplacement de sort dépensé."
  },
"MOON_GROUP-Formes du cercle":  {
 "Code" : "Formes du cercle",
 "Class" : "DRUID",
 "Specialisation" : "MOON_GROUP","UseNumber" : -1,
 "Description" : "Les rites de votre cercle vous permettent de prendre la forme d'animaux plus dangereux. À partir du niveau 2, vous pouvez utiliser Forme sauvage pour vous transformer en une bête de facteur de puissance inférieur ou égal à 1 (ignorez la colonne FP maximum de la table Types de bêtes, vous êtes cependant toujours soumis aux autres restrictions).  À partir du niveau 6, vous pouvez vous transformer en une bête de facteur de puissance inférieur ou égal à votre niveau de druide divisé par 3, arrondi à l'entier inférieur."
  },
"MOON_GROUP-Frappe primitive":  {
 "Code" : "Frappe primitive",
 "Class" : "DRUID",
 "Specialisation" : "MOON_GROUP","UseNumber" : -1,
 "Description" : "À partir du niveau 6, vos attaques sous forme animale comptent comme des attaques magiques pour ce qui est de surmonter la résistance et l'immunité aux attaques et dégâts non magiques."
  },
"MOON_GROUP-Forme sauvage élémentaire":  {
 "Code" : "Forme sauvage élémentaire",
 "Class" : "DRUID",
 "Specialisation" : "MOON_GROUP","UseNumber" : -1,
 "Description" : "Au niveau 10, vous pouvez dépenser deux utilisations de Forme sauvage en même temps pour vous transformer en un élémentaire de l'air, de l'eau, de la terre ou du feu."
  },
"MOON_GROUP-Mille formes":  {
 "Code" : "Mille formes",
 "Class" : "DRUID",
 "Specialisation" : "MOON_GROUP","UseNumber" : -1,
 "Description" : "Au niveau 14, vous avez appris à utiliser la magie pour améliorer votre forme physique de façon plus subtile. Vous pouvez lancer le sort modification d'apparence à volonté."
  },
</v>
      </c>
    </row>
    <row r="446" spans="1:9">
      <c r="A446" s="55"/>
      <c r="B446" s="18"/>
      <c r="I446" t="str">
        <f>CONCATENATE(I142,",
",I143,",
",I144,",
",I145,",
",I146,",
",I147,",
",I148,",
",I149,",
",I150,",
",I151,",
",I152,",
",I153,",
",I154,",
",I155,",
",I156,",
",I157,",
",I158,",
",I159,",
",I160,",
",I161,",
",I162,",
",I163,",
",I164,",
",I165,",
",I166,",
",I167,",
",I168,",
",I169,",
",I170,",
",I171,",
",I172,",
",I173,",
",I174,",
",I175,",
",I176,",
",I177,",
",I178,",
",I179,",
",I180,",
",I181,",
",I182,",
",I183,",
",I184,",
")</f>
        <v xml:space="preserve">"EARTH_GROUP-Sort mineur supplémentaire":  {
 "Code" : "Sort mineur supplémentaire",
 "Class" : "DRUID",
 "Specialisation" : "EARTH_GROUP","Stats" : true,
 "Description" : "Lorsque vous choisissez ce cercle au niveau 2, vous apprenez un sort mineur de druide supplémentaire de votre choix."
  },
"EARTH_GROUP-Récupération naturelle":  {
 "Code" : "Récupération naturelle",
 "Class" : "DRUID",
 "Specialisation" : "EARTH_GROUP","UseNumber" : -1,
 "Description" : "À partir du niveau 2, vous pouvez récupérer une partie de votre énergie magique en méditant et communiant avec la nature. Lors d'un repos court, vous choisissez les emplacements de sorts que vous souhaitez récupérer. Les emplacements de sorts doivent avoir un niveau cumulé inférieur ou égal à la moitié de votre niveau de druide (arrondi à l'entier supérieur), et aucun de ces emplacements ne doit être de niveau 6 ou supérieur. Vous ne pouvez pas utiliser de nouveau cette capacité avant d'avoir terminé un repos long. Par exemple, si vous êtes un druide de niveau 4, vous pouvez récupérer jusqu'à deux niveaux d'emplacement de sort. Vous pouvez soit choisir un emplacement de sort de niveau 2, soit deux emplacements de sorts de niveau 1."
  },
"EARTH_GROUP-Sorts de cercle":  {
 "Code" : "Sorts de cercle",
 "Class" : "DRUID",
 "Specialisation" : "EARTH_GROUP","UseNumber" : -1,
 "Description" : "Votre connexion mystique à la terre vous permet de lancer certains sorts. Aux niveaux 3, 5, 7 et 9, vous accédez à des sorts de cercle liés à la terre qui vous a vu devenir druide. Choisissez ce terrain (arctique, désert, forêt, littoral, marais, montagne, plaine ou Outreterre) et consultez la liste de sorts associée. Une fois que vous gagnez accès à un sort de cercle, ce sort est constamment préparé et ne compte pas dans le total de sorts que vous pouvez préparer chaque jour. Si vous accédez à un sort qui n'apparaît pas dans la liste de sorts du druide, ce sort est néanmoins considéré comme étant un sort de druide pour vous.  Arctique Niveau de druide     Sorts de cercle 3	                 croissance d'épines, immobilisation de personne 5	                 lenteur, tempête de neige 7	                 liberté de mouvement, tempête de grêle 9	                 communion avec la nature, cône de froid  Désert Niveau de druide	Sorts de cercle 3	                flou, silence 5	                création de nourriture et d'eau, protection contre une énergie 7	                flétrissement, terrain hallucinatoire 9	                fléau d'insectes, mur de pierre  Forêt Niveau de druide	Sorts de cercle 3	                pattes d'araignée, peau d'écorce 5	                appel de la foudre, croissance végétale 7	                divination, liberté de mouvement 9	                communion avec la nature, passage par les arbres  Littoral Niveau de druide	Sorts de cercle 3	                image miroir, pas brumeux 5	                marche sur l'eau, respiration aquatique 7	                contrôle de l'eau, liberté de mouvement 9	                invocation d'élémentaire, scrutation  Marais Niveau de druide	Sorts de cercle 3	                flèche acide de Melf, ténèbres 5	                marche sur l'eau, nuage puant 7	                liberté de mouvement, localisation de créature 9	                fléau d'insectes, scrutation  Montagne Niveau de druide	Sorts de cercle 3	                croissance d'épines, pattes d'araignée 5	                éclair, fusion dans la pierre 7	                façonnage de la pierre, peau de pierre 9	                mur de pierre, passe-muraille  Plaine Niveau de druide	Sorts de cercle 3	                invisibilité, passage sans trace 5	                hâte, lumière du jour 7	                divination, liberté de mouvement 9	                fléau d'insectes, rêve  Outreterre Niveau de druide	Sorts de cercle 3	                pattes d'araignée, toile d'araignée 5	                forme gazeuse, nuage puant 7	                façonnage de la pierre, invisibilité supérieure 9	                fléau d'insectes, nuage mortel"
  },
"EARTH_GROUP-Traversée des terrains":  {
 "Code" : "Traversée des terrains",
 "Class" : "DRUID",
 "Specialisation" : "EARTH_GROUP","UseNumber" : -1,
 "Description" : "À partir du niveau 6, vous déplacer sur un terrain difficile non magique ne vous coûte pas de déplacement supplémentaire. Vous pouvez également traverser la végétation non magique sans être ralenti et sans subir de dégâts si elle est constituée d'épines, de pointes ou d'autres inconvénients similaires. De plus, vous avez un avantage aux jets de sauvegarde contre les plantes qui ont été créées magiquement ou manipulées pour empêcher les mouvements, comme celles créées par le sort enchevêtrement."
  },
"EARTH_GROUP-Protection de la nature":  {
 "Code" : "Protection de la nature",
 "Class" : "DRUID",
 "Specialisation" : "EARTH_GROUP","Stats" : true,
 "Description" : "Lorsque vous atteignez le niveau 10, vous ne pouvez plus être charmé ou effrayé par les élémentaires ou les fées, et vous êtes immunisé contre les poisons et les maladies."
  },
"EARTH_GROUP-Sanctuaire de la nature":  {
 "Code" : "Sanctuaire de la nature",
 "Class" : "DRUID",
 "Specialisation" : "EARTH_GROUP","UseNumber" : -1,
 "Description" : "Lorsque vous atteignez le niveau 14, les créatures du monde naturel ressentent votre connexion avec la nature et hésitent à vous attaquer. Quand une bête ou une plante vous attaque, cette créature doit réussir un jet de sauvegarde de Sagesse contre votre DD de sort de druide. Si elle échoue, la créature doit choisir une autre cible, ou bien l'attaque rate automatiquement. En cas de jet de sauvegarde réussi, la créature est immunisée à cet effet pour 24 heures. La créature est consciente de cet effet avant qu'elle n'effectue son attaque contre vous."
  },
"SORCERER-Points de sorcellerie":  {
 "Code" : "Points de sorcellerie",
 "Class" : "SORCERER",
 "Specialisation" : "","Stats" : true,"Auto" : true,"Special" : true,
 "Description" : "Vous avez 2 points de sorcellerie, et vous en gagnez plus à des niveaux supérieurs, comme indiqué dans la colonne de Points de sorcellerie de la table ci-dessus. Vous ne pouvez jamais avoir plus de points de sorcellerie que ce que vous permet votre niveau dans la table ci-dessus. Vous récupérez tous les points de sorcellerie utilisés lorsque vous terminez un repos long."
  },
"SORCERER-Source de magie":  {
 "Code" : "Source de magie",
 "Class" : "SORCERER",
 "Specialisation" : "","Stats" : true,"Auto" : true,
 "Description" : "Au niveau 2, vous puisez dans une source profonde de magie en vous. Cette source est représentée par des points de sorcellerie qui vous permettent de créer une variété d'effets magiques."
  },
"SORCERER-Origine magique":  {
 "Code" : "Origine magique",
 "Class" : "SORCERER",
 "Specialisation" : "","Stats" : true,
 "Description" : "Choisissez une origine d'ensorceleur, qui décrit la source de votre pouvoir magique inné : lignée draconique ou magie sauvage, lesquelles sont détaillées à la fin de la description de la classe."
  },
"SORCERER-Flexibilité des sorts":  {
 "Code" : "Flexibilité des sorts",
 "Class" : "SORCERER",
 "Specialisation" : "","Special" : true,
 "Description" : "Vous pouvez utiliser vos points de sorcellerie pour gagner des emplacements de sorts supplémentaires ou sacrifier des emplacements de sorts pour gagner des points de sorcellerie supplémentaires. Vous apprenez d'autres façons d'utiliser vos points de sorcellerie lorsque vous atteignez des niveaux plus élevés. Tout emplacement de sort créé de cette manière disparaît lorsque vous terminez un repos long.  Création d'emplacements de sorts. Vous pouvez transformer des points de sorcellerie inutilisés en un emplacement de sort par une action bonus à votre tour. La table ci-dessous indique le coût pour créer un emplacement de sort d'un niveau donné. Vous ne pouvez pas créer d’emplacements de sorts d'un niveau supérieur à 5.  Niveau d'emplacement de sort - Coût en points de sorcellerie 1	                         - 2 2	                         - 3 3	                         - 5 4	                         - 6 5	                         - 7 Convertir un emplacement de sort en points de sorcellerie. Par une action bonus à votre tour, vous pouvez dépenser un emplacement de sort et gagner un nombre de points de sorcellerie égal au niveau d'emplacement."
  },
"SORCERER-Métamagie":  {
 "Code" : "Métamagie",
 "Class" : "SORCERER",
 "Specialisation" : "","UseNumber" : -1,
 "Description" : "Au niveau 3, vous gagnez la possibilité d’altérer vos sorts en fonction de vos besoins. Vous gagnez deux des options de métamagie suivantes de votre choix. Vous en gagnez une autre aux niveaux 10 et 17. Sauf indication contraire, vous ne pouvez utiliser sur un sort qu'une seule option de métamagie lorsque vous le lancez."
  },
"SORCERER-Sort accéléré":  {
 "Code" : "Sort accéléré",
 "Class" : "SORCERER",
 "Specialisation" : "","UseNumber" : -1,
 "Description" : "Lorsque vous lancez un sort qui a un temps d'incantation de 1 action, vous pouvez dépenser 2 points de sorcellerie pour changer le temps d'incantation à 1 action bonus pour lancer ce sort."
  },
"SORCERER-Sort distant":  {
 "Code" : "Sort distant",
 "Class" : "SORCERER",
 "Specialisation" : "","UseNumber" : -1,
 "Description" : "Quand vous lancez un sort qui a une portée de 1,50 mètre ou plus, vous pouvez dépenser 1 point de sorcellerie pour doubler la portée du sort. Si le sort a une portée de contact, vous pouvez dépenser 1 point de sorcellerie pour faire passer sa portée à 9 mètres."
  },
"SORCERER-Sort étendu":  {
 "Code" : "Sort étendu",
 "Class" : "SORCERER",
 "Specialisation" : "","UseNumber" : -1,
 "Description" : "Lorsque vous lancez un sort qui a une durée de 1 minute ou plus, vous pouvez dépenser 1 point de sorcellerie pour doubler sa durée (maximum 24 heures)."
  },
"SORCERER-Sort intense":  {
 "Code" : "Sort intense",
 "Class" : "SORCERER",
 "Specialisation" : "","UseNumber" : -1,
 "Description" : "Lorsque vous lancez un sort qui oblige une créature à faire un jet de sauvegarde pour résister à ses effets, vous pouvez dépenser 3 points de sorcellerie pour donner à une cible du sort un désavantage à son premier jet de sauvegarde contre le sort."
  },
"SORCERER-Sort jumeau":  {
 "Code" : "Sort jumeau",
 "Class" : "SORCERER",
 "Specialisation" : "","UseNumber" : -1,
 "Description" : "Quand vous lancez un sort qui a pour cible une seule créature et qui n'a pas une portée personnelle, vous pouvez dépenser un nombre de points de sorcellerie égal au niveau du sort pour viser une deuxième créature à portée avec le même sort (1 point de sorcellerie si le sort est un sort mineur).  Pour pouvoir utiliser cette option de métamagie, le sort doit être incapable de cibler plus d'une créature au niveau auquel il est lancé. Par exemple, rayon de givre fonctionne avec cette option mais pas projectile magique ni rayon ardent."
  },
"SORCERER-Sort prudent":  {
 "Code" : "Sort prudent",
 "Class" : "SORCERER",
 "Specialisation" : "","UseNumber" : -1,
 "Description" : "Lorsque vous lancez un sort qui force les autres créatures à faire un jet de sauvegarde, vous pouvez libérer de cette obligation du sort certaines de ces créatures. Pour ce faire, dépensez 1 point de sorcellerie et choisissez un nombre de créatures égal à votre modificateur de Charisme (minimum 1 créature). Chaque créature choisie réussie automatiquement sur son jet de sauvegarde contre le sort."
  },
"SORCERER-Sort puissant":  {
 "Code" : "Sort puissant",
 "Class" : "SORCERER",
 "Specialisation" : "","UseNumber" : -1,
 "Description" : "Lorsque vous jetez les dégâts pour un sort, vous pouvez dépenser 1 point de sorcellerie pour relancer un nombre de dés de dégâts égal à votre modificateur de Charisme (minimum 1). Vous devez forcément utiliser les nouveaux dégâts. Vous pouvez utiliser Sort puissant même si vous avez déjà utilisé une option différente de métamagie lors du lancer de ce sort."
  },
"SORCERER-Sort subtil":  {
 "Code" : "Sort subtil",
 "Class" : "SORCERER",
 "Specialisation" : "","UseNumber" : -1,
 "Description" : "Lorsque vous lancez un sort, vous pouvez dépenser 1 point de sorcellerie pour le lancer sans composantes somatiques ou verbales."
  },
"SORCERER-Amélioration de caractéristiques":  {
 "Code" : "Amélioration de caractéristiques",
 "Class" : "SORCERER",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"SORCERER-Restauration magique":  {
 "Code" : "Restauration magique",
 "Class" : "SORCERER",
 "Specialisation" : "","UseNumber" : -1,
 "Description" : "Au niveau 20, vous regagnez 4 points de sorcellerie dépensés chaque fois que vous terminez un repos court."
  },
"DRAGON_BORN-Ancêtre dragon":  {
 "Code" : "Ancêtre dragon",
 "Class" : "SORCERER",
 "Specialisation" : "DRAGON_BORN","Stats" : true,
 "Description" : "Au niveau 1, vous choisissez un type de dragon comme votre ancêtre. Le type de dégât associé à chaque dragon est utilisé par les capacités que vous gagnerez plus tard.  Dragon	Type de dégâts Blanc	Froid Bleu	Foudre Noir	Acide Rouge	Feu Vert	Poison Airain	Feu Argent	Froid Bronze	Foudre Cuivre	Acide Or	    Feu Vous pouvez parler, lire et écrire le draconique. De plus, chaque fois que vous faites un jet de Charisme pour interagir avec des dragons, votre bonus de maîtrise est doublé s’il s’applique au jet.  Résistance draconique"
  },
"DRAGON_BORN-Résistance draconique":  {
 "Code" : "Résistance draconique",
 "Class" : "SORCERER",
 "Specialisation" : "DRAGON_BORN","UseNumber" : -1,
 "Description" : "La magie qui coule à travers votre corps fait émerger des traits physiques de vos ancêtres dragons. Au niveau 1, vos points de vie maximums augmentent de 1 et également de 1 à chaque fois que vous gagnez un niveau dans cette classe. En outre, des parties de votre peau sont couvertes d’un mince reflet d’écailles de dragon. Lorsque vous ne portez pas d'armure, votre CA est égale à 13 + votre modificateur de Dextérité."
  },
"DRAGON_BORN-Affinité élémentaire":  {
 "Code" : "Affinité élémentaire",
 "Class" : "SORCERER",
 "Specialisation" : "DRAGON_BORN","UseNumber" : -1,
 "Description" : "À partir du niveau 6, lorsque vous lancez un sort qui inflige des dégâts du type associé à votre ascendance draconique, vous pouvez ajouter votre modificateur de Charisme aux dégâts d'un seul jet. Dans le même temps, vous pouvez dépenser 1 point de sorcellerie pour gagner une résistance à ce type de dégâts pendant 1 heure."
  },
"DRAGON_BORN-Ailes de dragon":  {
 "Code" : "Ailes de dragon",
 "Class" : "SORCERER",
 "Specialisation" : "DRAGON_BORN","UseNumber" : -1,
 "Description" : "Au niveau 14, vous obtenez la possibilité de faire pousser une paire d'ailes de dragon dans votre dos et gagnez une vitesse de vol égale à votre vitesse actuelle. Vous pouvez créer ces ailes en une action bonus à votre tour. Elles durent jusqu'à ce que vous les rejetiez par une action bonus à votre tour. Vous ne pouvez pas faire apparaître vos ailes si vous portez une armure, sauf si l'armure est faite pour les accueillir. De même, des vêtements non prévus pour accueillir vos ailes pourraient être détruits lorsque vous les faîtes apparaître."
  },
"DRAGON_BORN-Présence draconique":  {
 "Code" : "Présence draconique",
 "Class" : "SORCERER",
 "Specialisation" : "DRAGON_BORN","UseNumber" : -1,
 "Description" : "À partir du niveau 18, vous pouvez canaliser la présence effrayante de votre ancêtre dragon, causant autour de vous la terreur ou la fascination. En une action, vous pouvez dépenser 5 points de sorcellerie pour déclencher ce pouvoir et dégager une aura de fascination ou de peur (à votre choix) sur une distance de 18 mètres. Pendant 1 minute ou jusqu'à ce que vous perdiez votre concentration (comme lorsqu'on lance un sort avec concentration), chaque créature hostile qui commence son tour dans cette aura doit réussir un jet de sauvegarde de Sagesse ou être charmée (si vous avez choisi la fascination) ou effrayée (si vous avez choisi la peur) jusqu'à ce que l'aura se termine. Une créature qui réussit sur ce jet de sauvegarde est immunisée de votre aura pendant 24 heures."
  },
"WILD_MAGIC-Sursaut de magie sauvage":  {
 "Code" : "Sursaut de magie sauvage",
 "Class" : "SORCERER",
 "Specialisation" : "WILD_MAGIC","UseNumber" : -1,
 "Description" : "Dès lors que vous choisissez cette origine au niveau 1, vos sorts peuvent déclencher des poussées de magie incontrôlables. Une fois par tour, le MD peut vous demander de lancer un d20, immédiatement après que vous ayez lancé un sort d'ensorceleur du niveau 1 ou plus. Si vous obtenez un 1, vous déclenchez un effet magique aléatoire. Reportez-vous au tableau ci-dessous de Sursauts de magie sauvage pour déterminer les effets du résultat. Si l'effet de la magie sauvage est un sort, celui-ci est trop violent pour être affecté par votre métamagie. S'il demande normalement de la concentration, dans ce cas il n'en demande pas ; le sort persiste pour sa durée totale."
  },
"WILD_MAGIC-Vague de chaos":  {
 "Code" : "Vague de chaos",
 "Class" : "SORCERER",
 "Specialisation" : "WILD_MAGIC","UseNumber" : -1,
 "Description" : "À partir du niveau 1, vous pouvez manipuler les forces du hasard et du chaos pour gagner l'avantage sur un jet d'attaque, un jet de caractéristique ou un jet de sauvegarde. Lorsque vous le faites, vous devez terminer un repos long avant de pouvoir l'utiliser à nouveau.  Tant que vous n'avez pas récupéré l'usage de cette capacité, si vous lancez un sort d'ensorceleur de niveau 1 ou plus, le MD peut vous demander de faire un jet de Sursaut de magie sauvage (d100). Quel qu'en soit le résultat, vous récupérez ensuite cette capacité."
  },
"WILD_MAGIC-Chance forcée":  {
 "Code" : "Chance forcée",
 "Class" : "SORCERER",
 "Specialisation" : "WILD_MAGIC","UseNumber" : -1,
 "Description" : "À partir du niveau 6, vous obtenez la capacité d'altérer le destin en utilisant votre magie sauvage. Lorsqu'une créature que vous voyez fait un jet d'attaque, de caractéristique ou de sauvegarde, vous pouvez utiliser votre réaction et dépenser 2 points de sorcellerie pour jeter 1d4 et appliquer le chiffre comme bonus ou malus (au choix) au résultat de la créature. Vous pouvez faire ceci après que la créature ait jeté les dés mais avant que l'effet du jet ne soit annoncé."
  },
"WILD_MAGIC-Chaos contrôlé":  {
 "Code" : "Chaos contrôlé",
 "Class" : "SORCERER",
 "Specialisation" : "WILD_MAGIC","UseNumber" : -1,
 "Description" : "Au niveau 14, vous commencez à contrôler vos Sursauts de magie sauvage. À chaque fois que vous faites un jet de Sursaut de magie sauvage (d100), vous pouvez lancez 2 fois les dés et conserver le résultat que vous souhaitez."
  },
"WILD_MAGIC-Bombardement de sort":  {
 "Code" : "Bombardement de sort",
 "Class" : "SORCERER",
 "Specialisation" : "WILD_MAGIC","UseNumber" : -1,
 "Description" : "À partir du niveau 18, l'énergie néfaste de vos sorts s'intensifie. Lorsque vous faites un jet de dégâts pour un sort et que vous obtenez la plus haute valeur possible sur au moins un des dés, choisissez l'un de ces dés, relancez-le et ajoutez le résultat au total des dégâts. Vous ne pouvez utiliser cette capacité qu'une fois par tour.  d100	Effet 01-02	Au début de vos prochains tours, refaites un jet de Sursaut de magie sauvage (ignorez ce résultat sur des jets consécutifs). Cet effet dure une minute. 03-04	Pendant une minute, vous pouvez voir toutes les créatures invisibles tant qu'elles sont dans votre champs de vision. 05-06	Un modron (créature artificielle) choisi et contrôlé par le MD apparaît dans un espace inoccupé à 1,50 mètre de vous. Il disparaît une minute plus tard. 07-08	Vous lancez le sort boule de feu de niveau 3 centré sur vous. 09-10	Vous lancez un sort projectile magique de niveau 5. 11-12	Jetez un d10. Votre taille varie de 2,50 cm x le résultat du jet. Si le résultat est paire vous grandissez, s'il est impair, vous rapetissez. 13-14	Vous lancez le sort confusion centré sur vous-même. 15-16	Pendant une minute, vous regagnez 5 points de vie au début de chacun de vos tours. 17-18	Une longue barbe faite de plumes vous pousse soudainement. Celle-ci s'évanouit dans un nuage de plumes lorsque vous éternuez. 19-20	Vous lancez le sort graisse centré sur vous-même. 21-22	Les créatures ont un désavantage à leur jets de sauvegarde contre le prochain sort que vous lancez dans la minute qui suit. 23-24	Votre peau devient bleu. Un sort de délivrance des malédictions peut mettre fin à cet effet. 25-26	Un oeil apparaît sur votre front pendant une minute. Pendant cette durée, vous avez l'avantage à vos jets de Perception (Sagesse) qui se basent sur la vue. 27-28	Pendant une minute, tout vos sorts dont le temps d'incantation est d'1 action ont un temps d'incantation d'1 action bonus. 29-30	Vous vous téléportez à 18 mètres dans un espace inoccupé que vous pouvez voir. 31-32	Vous êtes transporté dans le Plan Astral jusqu'à la fin de votre prochain tour, après quoi vous retournez à votre position d'origine, dans l'espace innocupé le plus proche. 33-34	Le prochain sort que vous lancez dans la minute qui suit fait le maximum de dégâts. 35-36	Jetez un d10. Votre âge varie d'un nombre d'années équivalent au résultat du jet. Si le résultat est pair, vous vieillissez, sinon vous rajeunissez (minimum 1 an). 37-38	1d6 flumphs contrôlés par le MD apparaissent dans un périmètre de 18 mètres et ont peur de vous. Ils disparaissent au bout d'une minute. 39-40	Vous regagnez 2d10 points de vie. 41-42	Vous vous transformez en plante en pot jusqu'au début de votre prochain tour. Sous cette forme, vous êtes incapable d'agir et avez la vulnérabilité à tous les types de dégâts. Si vous tombez à 0 point de vie, votre pot casse et vous retrouvez votre forme d'origine. 43-44	Pendant une minute, vous pouvez utiliser à chaque tour votre action bonus pour vous téléporter dans un rayon de 6 mètres. 45-46	Vous lancez le sort lévitation sur vous. 47-48	Une licorne contrôlée par le MD apparaît à 1,50 mètre de vous puis disparaît une minute plus tard. 49-50	Vous ne pouvez plus parler pendant une minute. A chaque fois que vous essayez, des bulles roses sortent de votre bouche. 51-52	Un bouclier spectral vous entoure pendant une minute, vous faisant bénéficier d'une bonus de +2 à la CA et de l'immunité au sort projectile magique. 53-54	Vous êtes immunisé à l'intoxication par l'alcool pour les 5d6 prochains jours. 55-56	Vos cheveux tombent puis repoussent progressivement durant les prochaines 24 h. 57-58	Pour la prochaine minute, tout objet inflammable que vous touchez qui n'est ni porté ni équipé par une autre créature prend feu. 59-60	Vous regagnez votre emplacement de sort dépensé le plus faible. 61-62	Pendant une minute, vous criez lorsque vous essayez de parler. 63-64	Vous lancez le sort nappe de brouillard centré sur vous-même. 65-66	Jusqu'à 3 créatures, que vous choisissez, situées à 9 mètres ou moins de vous, prennent 4d10 dégâts de foudre. 67-68	Vous êtes effrayé par la créature la plus proche de vous jusqu'à la fin de votre prochain tour. 69-70	Toutes les créatures dans un rayon de 9 mètres deviennent invisibles pendant une minute. L'invisibilité prend fin lorsque la créature attaque ou lance un sort. 71-72	Vous obtenez la résistance à tous les dégâts pendant une minute. 73-74	Une créature aléatoire située dans un rayon de 18 mètres est empoisonnée pendant 1d4 heures. 75-76	Vous vous mettez à briller dans un rayon de 9 mètres pendant une minute. Toute créature finissant son tour à 1,50 mètre de vous est aveuglée jusqu'à la fin de son prochain tour. 77-78	Vous lancez le sort métamorphose sur vous-même. Si vous ratez votre jet de sauvegarde, vous vous transformez en mouton pour la durée du sort. 79-80	Des illusions de papillons et de pétales de fleur flottent autour de vous dans un rayon de 3 mètres pendant une minute. 81-82	Vous obtenez 1 action supplémentaire immédiatement. 83-84	Toutes les créatures à 9 mètres ou moins prennent 1d10 de dégâts nécrotiques. Vous regagnez autant de points de vie que de dégâts infligés. 85-86	Vous lancez le sort image miroir. 87-88	Vous lancez le sort vol sur une créature aléatoire dans un rayon de 18 mètres. 89-90	Vous devenez invisible pendant une minute. Pendant ce temps, les autres créatures ne peuvent pas vous entendre. L'invisibilité prend fin lorsque vous attaquez ou lancez un sort. 91-92	Si vous mourrez dans la minute qui suit, vous revenez immédiatement à la vie comme si vous étiez touché par le sort résurrection. 93-94	Votre taille augmente d'une catégorie pendant une minute. 95-96	Vous et toutes les créatures dans un rayon de 9 mètres obtenez la vulnérabilité aux dégâts perforants pendant une minute. 97-98	Vous êtes entouré d'une faible musique éthérée pendant une minute. 99-100	Vous regagnez tous vos points de sorcellerie."
  },
"WARRIOR-Second souffle":  {
 "Code" : "Second souffle",
 "Class" : "WARRIOR",
 "Specialisation" : "","UseNumber" : -1,
 "Description" : "Vous possédez une réserve d'endurance limitée dans laquelle vous pouvez puiser pour vous protéger contre les dégâts. À votre tour vous pouvez utiliser une action bonus pour regagner un nombre de pv égal à 1d10 + votre niveau de guerrier. Une fois cette capacité utilisée, vous devez terminer un repos court ou long pour pouvoir l'utiliser de nouveau."
  },
"WARRIOR-Style de combat":  {
 "Code" : "Style de combat",
 "Class" : "WARRIOR",
 "Specialisation" : "","Stats" : true,
 "Description" : "Vous adoptez un style particulier de combat qui sera votre spécialité. Choisissez l'une des options suivantes. Vous ne pouvez pas prendre une option de style de combat plus d'une fois, même si vous obtenez plus tard la possibilité de choisir un nouveau style."
  },
"WARRIOR-Archétype martial":  {
 "Code" : "Archétype martial",
 "Class" : "WARRIOR",
 "Specialisation" : "","Stats" : true,
 "Description" : "Au niveau 3, choisissez un archétype que vous vous efforcez d'imiter dans vos styles et techniques de combat. Votre archétype vous accorde des capacités spéciales au niveau 3 puis de nouvelles aux niveaux 7, 10, 15 et 18. Voir Archétypes martiaux ci-dessous."
  },
"WARRIOR-Sursaut":  {
 "Code" : "Sursaut",
 "Class" : "WARRIOR",
 "Specialisation" : "","UseNumber" : -1,
 "Description" : "À partir du niveau 2, à votre tour, vous pouvez réaliser une action supplémentaire en plus de votre action normale et de votre éventuelle action bonus. Une fois cette capacité utilisée, vous devez terminer un repos court ou long pour pouvoir l'utiliser de nouveau. À partir du niveau 17, vous pouvez utiliser cette capacité deux fois entre deux repos, mais une seule fois par tour."
  },
"WARRIOR-Amélioration de caractéristiques":  {
 "Code" : "Amélioration de caractéristiques",
 "Class" : "WARRIOR",
 "Specialisation" : "","Stats" : true,
 "Description" : "Au niveau 4, puis par la suite aux niveaux 6, 8, 12, 14, 16 et 19, vous pouvez augmenter une valeur de caractéristique de votre choix de +2, ou bien augmenter deux valeurs de caractéristique de votre choix de +1. Vous ne pouvez cependant pas augmenter une caractéristique au-delà de 20 par ce biais."
  },
"WARRIOR-Attaque supplémentaire":  {
 "Code" : "Attaque supplémentaire",
 "Class" : "WARRIOR",
 "Specialisation" : "","UseNumber" : -1,
 "Description" : "À partir du niveau 5, vous pouvez attaquer deux fois, au lieu d'une seule, chaque fois que vous réalisez l’action Attaquer durant votre tour. Le nombre d'attaques augmente à trois lorsque vous atteignez le niveau 11 dans cette classe et à quatre lorsque vous atteignez le niveau 20 dans cette classe."
  },
"WARRIOR-Indomptable":  {
 "Code" : "Indomptable",
 "Class" : "WARRIOR",
 "Specialisation" : "","UseNumber" : -1,
 "Description" : "À partir du niveau 9, vous pouvez relancer un jet de sauvegarde que vous avez raté. Si vous le faites, vous devez obligatoirement utiliser le nouveau résultat, et ne pouvez pas utiliser de nouveau cette capacité avant d'avoir terminé un repos long. Vous pouvez utiliser cette capacité deux fois entre deux repos longs à partir du niveau 13 et trois fois entre deux repos longs à partir du niveau 17."
  },
"CHAMPION-Critique amélioré":  {
 "Code" : "Critique amélioré",
 "Class" : "WARRIOR",
 "Specialisation" : "CHAMPION","UseNumber" : -1,
 "Description" : "À partir du niveau 3, vos attaques avec des armes sont considérées comme un coup critique sur un jet naturel de 19 ou 20."
  },
"CHAMPION-Athlète remarquable":  {
 "Code" : "Athlète remarquable",
 "Class" : "WARRIOR",
 "Specialisation" : "CHAMPION","UseNumber" : -1,
 "Description" : "À partir du niveau 7, vous pouvez ajouter la moitié de votre bonus de maîtrise (arrondi au supérieur) à tout jet de Force, Dextérité ou Constitution que vous effectuez et qui n'utilise pas déjà ce bonus de maîtrise. En outre, lorsque vous effectuez un saut en longueur, la distance que vous pouvez couvrir augmente d'une distance égale à votre modificateur de Force x 30 cm."
  },
"CHAMPION-Style de combat supplémentaire":  {
 "Code" : "Style de combat supplémentaire",
 "Class" : "WARRIOR",
 "Specialisation" : "CHAMPION","Stats" : true,
 "Description" : "Au niveau 10, vous pouvez choisir une deuxième option pour la capacité de Style de combat."
  },
"CHAMPION-Critique supérieur":  {
 "Code" : "Critique supérieur",
 "Class" : "WARRIOR",
 "Specialisation" : "CHAMPION","UseNumber" : -1,
 "Description" : "À partir du niveau 15, vos attaques avec des armes sont considérées comme un coup critique sur un jet naturel de 18, 19 ou 20."
  },
"CHAMPION-Survivant":  {
 "Code" : "Survivant",
 "Class" : "WARRIOR",
 "Specialisation" : "CHAMPION","UseNumber" : -1,
 "Description" : "À partir du niveau 18, au début de chacun de vos tours, vous récupérez un nombre de points de vie égal à 5 + votre modificateur de Constitution s'il ne vous reste pas plus de la moitié de vos points de vie initiaux. Vous ne gagnez pas cet avantage si vous êtes à 0 point de vie."
  },
</v>
      </c>
    </row>
    <row r="447" spans="1:9">
      <c r="A447" s="55"/>
      <c r="B447" s="18"/>
      <c r="I447" t="str">
        <f>CONCATENATE(I185,",
",I186,",
",I187,",
",I188,",
",I189,",
",I190,",
",I191,",
",I192,",
",I193,",
",I194,",
",I195,",
",I196,",
",I197,",
",I198,",
",I199,",
",I200,",
",I201,",
",I202,",
",I203,",
",I204,",
",I205,",
",I206,",
",I207,",
",I208,",
",I209,",
",I210,",
",I211,",
",I212,",
",I213,",
",I214,",
",I215,",
",I216,",
",I217,",
",I218,",
",I219,",
",I220,",
",I221,",
",I222,",
",I223,",
",I224,",
",I225,",
",I226,",
",I227,",
",I228,",
")</f>
        <v xml:space="preserve">"WAR_MASTER-Supériorité au combat":  {
 "Code" : "Supériorité au combat",
 "Class" : "WARRIOR",
 "Specialisation" : "WAR_MASTER","UseNumber" : -1,
 "Description" : "Quand vous choisissez cet archétype au niveau 3, vous apprenez des manœuvres qui utilisent des dés spéciaux nommés « dés de supériorité ».  Manœuvres. Vous apprenez trois manœuvres de votre choix, qui sont détaillées dans « Manœuvres » plus bas. Chaque manœuvre améliore une attaque d'une certaine manière. Vous ne pouvez utiliser qu'une seule manœuvre par attaque. Vous apprenez deux manœuvres additionnelles de votre choix au niveau 7, 10 et 15. Chaque fois que vous apprenez une nouvelle manœuvre, vous pouvez aussi remplacer une manœuvre déjà connue par une nouvelle.  Dés de supériorité. Vous avez quatre dés de supériorité, qui sont des d8. Un dé de supériorité est dépensé quand vous l’utilisez. Vous regagnez tous vos dés de supériorité dépensés lorsque vous terminez un repos court ou long. Vous gagnez un dé de supériorité supplémentaire au niveau 7 ainsi qu’au niveau 15.  Jets de sauvegarde. Certaines de vos manœuvres requièrent de votre cible un jet de sauvegarde pour résister à ses effets. Le DD de ce jet de sauvegarde est :  DD du jet de sauvegarde contre la manœuvre = 8 + votre bonus de maîtrise + votre modificateur de Force ou de Dextérité (au choix)"
  },
"WAR_MASTER-Étudiant de guerre":  {
 "Code" : "Étudiant de guerre",
 "Class" : "WARRIOR",
 "Specialisation" : "WAR_MASTER","Stats" : true,
 "Description" : "Au niveau 3, vous gagnez la maîtrise d'un outil d'artisan de votre choix."
  },
"WAR_MASTER-Connaître son ennemi":  {
 "Code" : "Connaître son ennemi",
 "Class" : "WARRIOR",
 "Specialisation" : "WAR_MASTER","UseNumber" : -1,
 "Description" : "À partir du niveau 7, si vous passez au moins 1 minute à observer ou à interagir avec une créature en n'étant pas engagé dans un combat, vous pouvez apprendre certaines informations à propos de ses capacités comparées aux vôtres. Le MD vous dit si la créature est égale, supérieure ou inférieure à vous par rapport à deux des caractéristiques suivantes de votre choix :  Force Dextérité Constitution classe d'armure points de vie actuels total des niveaux de classe (le cas échéant) niveau de guerrier (le cas échéant)"
  },
"WAR_MASTER-Supériorité au combat améliorée":  {
 "Code" : "Supériorité au combat améliorée",
 "Class" : "WARRIOR",
 "Specialisation" : "WAR_MASTER","UseNumber" : -1,
 "Description" : "À partir du niveau 10, vos dés de supériorité deviennent des d10. À partir du niveau 18 ils deviennent des d12."
  },
"WAR_MASTER-Implacable":  {
 "Code" : "Implacable",
 "Class" : "WARRIOR",
 "Specialisation" : "WAR_MASTER","UseNumber" : -1,
 "Description" : "À partir du niveau 15, si lorsque vous lancez votre jet d’initiative vous n’avez plus de dés de supériorité disponibles, vous en regagnez un."
  },
"WAR_MASTER-Manœuvres":  {
 "Code" : "Manœuvres",
 "Class" : "WARRIOR",
 "Specialisation" : "WAR_MASTER","UseNumber" : -1,
 "Description" : "Attaque de manœuvre. Si vous touchez une créature lors d'une attaque avec une arme, vous pouvez dépenser un dé de supériorité pour placer l’un de vos alliés dans une position avantageuse. Ajoutez votre dé de supériorité aux dégâts et choisissez une créature amicale qui peut vous voir ou vous entendre. Cette créature pourra utiliser sa réaction pour se déplacer de la moitié de sa vitesse sans provoquer d'attaque d’opportunité de la part de la cible de votre attaque.  Attaque menaçante. Si vous touchez une créature lors d'une attaque avec une arme, vous pouvez dépenser un dé de supériorité pour tenter d’effrayer la cible. Ajoutez votre dé de supériorité aux dégâts, et la cible doit faire un jet de sauvegarde de Sagesse. En cas d'échec, la cible est effrayée jusqu'à la fin de votre prochain tour.  Attaque précise. Si vous réalisez une attaque avec une arme, vous pouvez dépenser un dé de supériorité et l’ajouter au jet d'attaque. Vous pouvez utiliser cette manœuvre avant ou après avoir lancé le jet d'attaque, mais avant qu'un quelconque effet de l'attaque ne s'applique.  Balayage. Si vous touchez une créature lors d'une attaque avec une arme au corps à corps, vous pouvez dépenser un dé de supériorité pour tenter de frapper une autre créature avec la même attaque. Choisissez une autre créature dans un rayon de 1,50 mètre autour de la cible originale et à votre portée. Si votre jet d'attaque contre votre première cible permet également de toucher la seconde, vous infligez à cette dernière les dégâts de votre dé de supériorité. Les dégâts seront du même type sur ceux de la première attaque.  Croche-pied. Si vous touchez une créature lors d'une attaque avec une arme, vous pouvez utiliser un dé de supériorité pour tenter de mettre votre cible à terre. Ajoutez votre dé de supériorité aux dégâts, et si la cible est de taille G ou plus petite elle devra faire un jet de sauvegarde de Force. En cas d’échec, votre cible tombe à terre.  Désarmement. Si vous touchez une créature lors d'une attaque avec une arme, vous pouvez dépenser un dé de supériorité pour tenter de désarmer la cible, la forçant à lâcher un objet de votre choix qu’elle a en main. Vous ajoutez le dé de supériorité aux dégâts de l’attaque, et la cible doit faire un jet de sauvegarde de Force. En cas d’échec, elle lâche l’objet que vous avez désigné. L’objet tombe à ses pieds.  Distraction. Si vous touchez une créature lors d'une attaque avec une arme, vous pouvez dépenser un dé de supériorité pour distraire la créature et provoquer une ouverture pour vos alliés. Ajoutez votre dé de supériorité à vos dégâts. La prochaine attaque contre votre cible aura l'avantage si ce n’est pas vous qui frappez et si elle est faite avant le début de votre prochain tour.  Feinte. Vous pouvez dépenser un dé de supériorité et utiliser une action bonus à votre tour pour faire une feinte, ciblant une créature dans un rayon de 1,50 mètre autour de vous. Vous avez l'avantage à votre prochain jet d'attaque contre cette créature durant ce tour. Si cette attaque touche, ajoutez votre dé de supériorité aux dégâts. L'avantage est perdu si vous ne l'utilisez pas durant le tour où vous l'avez obtenu.  Fente. Si vous réalisez une attaque avec une arme au corps à corps durant votre tour, vous pouvez dépenser un dé de supériorité pour augmenter l'allonge de votre frappe de 1,50 mètre. Si vous touchez, ajoutez votre dé de supériorité aux dégâts.  Frappe dirigée. Si vous utilisez votre action Attaquer à votre tour, vous pouvez renoncer à l’une de vos attaques et utiliser une action bonus pour diriger l’un de vos compagnons dans sa frappe. Choisissez une créature amicale qui peut vous voir ou vous entendre et utilisez un dé de supériorité. Cette créature peut immédiatement utiliser sa réaction pour faire une attaque avec une arme, en ajoutant le dé de supériorité aux dégâts.  Jeu de jambes défensif. Si vous effectuez un déplacement, vous pouvez dépenser un dé de supériorité, jeter le dé et ajouter le résultat à votre CA jusqu'à la fin de votre déplacement.  Parade. Si une créature vous touche avec une attaque au corps à corps, vous pouvez utiliser votre réaction et un dé de supériorité pour réduire les dégâts d'un montant égal à votre résultat au dé de supériorité + votre modificateur de Dextérité.  Provocation. Si vous touchez une créature lors d'une attaque avec une arme, vous pouvez dépenser un dé de supériorité pour tenter d’inciter la cible à vous attaquer. Ajoutez votre dé de supériorité aux dégâts, et la cible doit faire un jet de sauvegarde de Sagesse. En cas d’échec, la cible a un désavantage à tous ses jets d’attaque contre d’autre cible que vous jusqu’à la fin de votre prochain tour.  Rallier. À votre tour, vous pouvez utiliser une action bonus et un dé de supériorité pour renforcer la volonté d’un de vos alliés. Dans ce cas, choisissez un allié qui peut vous voir ou vous entendre. Cette créature gagne un nombre de pv temporaires égal au résultat du dé de supériorité + votre modificateur de Charisme.  Repousser. Si vous touchez une créature lors d'une attaque avec une arme, vous pouvez dépenser un dé de supériorité pour tenter de repousser la cible. Ajoutez votre dé de supériorité aux dégâts, et si la cible est de taille G ou plus petite, elle devra faire un jet de sauvegarde de Force. En cas d’échec, vous repoussez la cible à 4,50 mètres de vous.  Riposte. Si une créature vous rate lors d'une attaque au corps à corps, vous pouvez utiliser votre réaction et un dé de supériorité pour faire une attaque avec une arme au corps à corps contre cette créature. Si vous touchez, ajoutez votre dé de supériorité aux dégâts."
  },
"OCCULT_KNIGHT-Incantations":  {
 "Code" : "Incantations",
 "Class" : "WARRIOR",
 "Specialisation" : "OCCULT_KNIGHT","Stats" : true,"Auto" : true,
 "Description" : "Lorsque vous atteignez le niveau 3, vous augmentez vos prouesses martiales avec la possibilité de lancer des sorts.  Sorts mineurs. Vous apprenez deux sorts mineurs de votre choix dans la liste de sorts de magicien. Vous apprenez un autre sort mineur de votre choix au niveau 10.  Sorts connus de niveau 1 et supérieur. Vous connaissez trois sorts de magicien de niveau 1 de votre choix, dont deux que vous devez choisir dans les écoles d'abjuration et d'évocation. La colonne Sorts connus indique à quel niveau vous apprenez plus de sorts de magicien de niveau 1 ou supérieur. Chacun de ces sorts doit être des écoles d’abjuration ou d’évocation,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d’abjuration ou d‘évocation, à moins que vous ne remplaciez le sort que vous avez acquis au niveau 3, 8, 14 ou 20 de n'importe quelle école de magie.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
"OCCULT_KNIGHT-Lien avec une arme":  {
 "Code" : "Lien avec une arme",
 "Class" : "WARRIOR",
 "Specialisation" : "OCCULT_KNIGHT","UseNumber" : -1,
 "Description" : "Au niveau 3, vous apprenez un rituel qui crée un lien magique entre vous et une arme. Vous effectuez le rituel pendant 1 heure, ce qui peut être effectué pendant un repos court. L'arme doit être à votre portée tout au long du rituel, à l'issue duquel vous touchez l'arme et forgez le lien. Une fois que vous vous êtes lié avec une arme, vous ne pouvez pas être désarmé de cette arme, sauf si vous êtes incapable d'agir. Si l'arme se trouve sur le même plan d'existence que vous, vous pouvez invoquer cette arme par une action bonus à votre tour, l'amenant à se téléporter instantanément dans votre main. Vous pouvez être lié à un maximum de deux armes, mais ne pouvez en invoquer qu'une seule à la fois avec votre action bonus. Si vous essayez de vous lier à une troisième arme, vous devez rompre le lien avec l'une des deux autres."
  },
"OCCULT_KNIGHT-Magie de guerre":  {
 "Code" : "Magie de guerre",
 "Class" : "WARRIOR",
 "Specialisation" : "OCCULT_KNIGHT","UseNumber" : -1,
 "Description" : "À partir du niveau 7, lorsque vous utilisez votre action pour lancer un sort mineur, vous pouvez effectuer une attaque avec une arme en tant qu'action bonus."
  },
"OCCULT_KNIGHT-Frappe occulte":  {
 "Code" : "Frappe occulte",
 "Class" : "WARRIOR",
 "Specialisation" : "OCCULT_KNIGHT","UseNumber" : -1,
 "Description" : "Au niveau 10, vous apprenez comment passer la résistance à vos sorts d'une créature, grâce à votre attaque avec une arme. Lorsque vous touchez une créature avec une attaque d'arme, cette créature a un désavantage au prochain jet de sauvegarde contre un sort que vous lancez avant la fin de votre prochain tour."
  },
"OCCULT_KNIGHT-Charge arcanique":  {
 "Code" : "Charge arcanique",
 "Class" : "WARRIOR",
 "Specialisation" : "OCCULT_KNIGHT","UseNumber" : -1,
 "Description" : "Au niveau 15, vous gagnez la capacité de vous téléporter jusqu'à 9 mètres dans un espace inoccupé que vous pouvez voir, lorsque vous utilisez votre Sursaut. Vous pouvez vous téléporter avant ou après l'action supplémentaire."
  },
"OCCULT_KNIGHT-Magie de guerre améliorée":  {
 "Code" : "Magie de guerre améliorée",
 "Class" : "WARRIOR",
 "Specialisation" : "OCCULT_KNIGHT","UseNumber" : -1,
 "Description" : "À partir du niveau 18, lorsque vous utilisez votre action pour lancer un sort, vous pouvez effectuez une attaque avec une arme en tant qu'action bonus."
  },
"MAGICIAN-Récupération arcanique":  {
 "Code" : "Récupération arcanique",
 "Class" : "MAGICIAN",
 "Specialisation" : "","UseNumber" : -1,
 "Description" : "Vous avez appris à regagner une partie de votre énergie magique par l'étude de votre grimoire. Une fois par jour, lorsque vous terminez un repos court, vous pouvez choisir des emplacements de sorts dépensés à récupérer. Les emplacements de sorts peuvent avoir un niveau combiné égal ou inférieur à la moitié de votre niveau de magicien (arrondi au supérieur), et aucun de ces emplacements ne peut être de niveau 6 ou supérieur.  Par exemple, si vous êtes un magicien de niveau 4, vous pouvez récupérer jusqu'à l'équivalent de deux niveaux d'emplacements de sorts. Vous pouvez récupérer soit un emplacement de sort de niveau 2 ou deux emplacements de sorts de niveau 1."
  },
"MAGICIAN-Tradition arcanique":  {
 "Code" : "Tradition arcanique",
 "Class" : "MAGICIAN",
 "Specialisation" : "","Stats" : true,
 "Description" : "Au niveau 2, choisissez une tradition arcanique, qui forgera votre pratique de la magie à travers une des huit écoles : abjuration, divination, enchantement, évocation, illusion, invocation, nécromancie ou transmutation. Votre choix vous accorde des capacités spéciales au niveau 2 puis de nouvelles aux niveaux 6, 10 et 14."
  },
"MAGICIAN-Amélioration de caractéristiques":  {
 "Code" : "Amélioration de caractéristiques",
 "Class" : "MAGICIAN",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"MAGICIAN-Maîtrise des sorts":  {
 "Code" : "Maîtrise des sorts",
 "Class" : "MAGICIAN",
 "Specialisation" : "","UseNumber" : -1,
 "Description" : "Au niveau 18, vous avez atteint une telle maîtrise sur certains sorts que vous pouvez les lancer à volonté. Choisissez un sort de magicien de niveau 1 et un sort de magicien de niveau 2 de votre grimoire. Vous pouvez lancer ces sorts à leur niveau le plus bas sans dépenser un emplacement de sort lorsque vous les avez préparés. Si vous voulez lancer l'un de ses sorts à un niveau supérieur, vous devez dépenser un emplacement de sort, de manière normale. En passant 8 heures à étudier, vous pouvez échanger l'un ou les deux sorts que vous avez choisis par d'autres sorts de même niveau."
  },
"MAGICIAN-Sorts de prédilection":  {
 "Code" : "Sorts de prédilection",
 "Class" : "MAGICIAN",
 "Specialisation" : "","UseNumber" : -1,
 "Description" : "Au niveau 20, vous gagnez la maîtrise de deux sorts puissants et pouvez les lancer avec peu d'effort. Choisissez deux sorts de magicien de niveau 3 de votre grimoire qui seront vos sorts de prédilection. Ces sorts sont toujours préparés, ils ne comptent pas dans le nombre de sorts que vous avez préparé, et vous pouvez lancer chacun d'eux une fois au niveau 3 sans dépenser un emplacement de sort. Une fois un sort lancé de cette manière, vous devez terminer un repos court ou long pour pouvoir le lancer de nouveau. Si vous voulez lancer un de ces sorts à un niveau supérieur, vous devez dépenser un emplacement de sort, de manière normale."
  },
"ABJURATION-Abjurateur érudit":  {
 "Code" : "Abjurateur érudit",
 "Class" : "MAGICIAN",
 "Specialisation" : "ABJURATION","UseNumber" : -1,
 "Description" : "Au niveau 2, lorsque vous choisissez cette école, l'or et le temps que vous devez dépenser pour copier un sort d'abjuration dans votre grimoire est divisé par deux."
  },
"ABJURATION-Protection arcanique":  {
 "Code" : "Protection arcanique",
 "Class" : "MAGICIAN",
 "Specialisation" : "ABJURATION","UseNumber" : -1,
 "Description" : "À partir du niveau 2, vous pouvez tisser la magie autour de vous pour vous protéger. Lorsque vous lancez un sort d'abjuration de niveau 1 ou plus, vous pouvez utiliser simultanément un brin de la magie du sort pour créer un sceau arcanique sur vous-même qui dure jusqu'à ce que vous terminiez un repos long. Le sceau possède des points de vie égaux à deux fois votre niveau de magicien + votre modificateur d'Intelligence. Chaque fois que vous subissez des dégâts, le sceau prend les dommages à votre place. Si ces dommages réduisent le sceau à 0 point de vie, vous prenez les dommages restants.  À 0 point de vie, le sceau ne peut plus absorber les dégâts, mais sa magie persiste. Chaque fois que vous lancez un sort d'abjuration de niveau 1 ou plus, le sceau récupère un nombre de points de vie égal à deux fois le niveau du sort. Une fois que vous créez un sceau, vous ne pouvez pas en créer d'autres jusqu'à ce que vous ayez terminé un repos long."
  },
"ABJURATION-Transmission de protection":  {
 "Code" : "Transmission de protection",
 "Class" : "MAGICIAN",
 "Specialisation" : "ABJURATION","UseNumber" : -1,
 "Description" : "À partir du niveau 6, quand une créature que vous pouvez voir dans un rayon de 9 mètres autour de vous subit des dégâts, vous pouvez utiliser votre réaction et absorber ses dommages grâce à votre Protection arcanique. Si ces dommages réduisent le sceau à 0 point de vie, la créature protégée prend les dommages restants."
  },
"ABJURATION-Abjuration améliorée":  {
 "Code" : "Abjuration améliorée",
 "Class" : "MAGICIAN",
 "Specialisation" : "ABJURATION","UseNumber" : -1,
 "Description" : "À partir du niveau 10, quand vous lancez un sort d'abjuration et que celui-ci vous oblige à faire un jet de caractéristique (comme avec contresort ou dissipation de la magie), vous ajoutez votre bonus de maîtrise au jet de caractéristique."
  },
"ABJURATION-Résistance aux sorts":  {
 "Code" : "Résistance aux sorts",
 "Class" : "MAGICIAN",
 "Specialisation" : "ABJURATION","UseNumber" : -1,
 "Description" : "À partir du niveau 14, vous avez l'avantage aux jets de sauvegarde contre les sorts. En outre, vous avez la résistance contre les dégâts des sorts."
  },
"ABJURATION-Devin érudit":  {
 "Code" : "Devin érudit",
 "Class" : "MAGICIAN",
 "Specialisation" : "ABJURATION","UseNumber" : -1,
 "Description" : "Au niveau 2, lorsque vous choisissez cette école, l'or et le temps que vous devez dépenser pour copier un sort de divination dans votre grimoire est divisé par deux."
  },
"DIVINATION-Présage":  {
 "Code" : "Présage",
 "Class" : "MAGICIAN",
 "Specialisation" : "DIVINATION","UseNumber" : -1,
 "Description" : "À partir du niveau 2, des aperçus du futur commencent à germer dans votre conscience. Lorsque vous terminez un repos long, lancez deux d20 et notez les résultats. Vous pouvez remplacer n'importe quel jet d'attaque, de sauvegarde ou de caractéristique, qu'il soit lancé par vous ou par une créature que vous pouvez voir, par l'un de ces jets anticipés. Vous devez choisir de faire cela avant de lancer le dé, et vous ne pouvez remplacer qu'un seul jet par tour. Chaque jet anticipé ne peut être utilisé qu'une seule fois. Lorsque vous terminez un repos long, vous perdez tous les jets anticipés non-utilisés."
  },
"DIVINATION-Expert en divination":  {
 "Code" : "Expert en divination",
 "Class" : "MAGICIAN",
 "Specialisation" : "DIVINATION","UseNumber" : -1,
 "Description" : "À partir du niveau 6, lancer des sorts de divination vous devient si facile que vous ne dépensez qu'une fraction de vos efforts pour cela. Lorsque vous lancez un sort de divination de niveau 2 ou plus, en utilisant un emplacement de sort, vous récupérez un emplacement de sort dépensé. L'emplacement que vous regagnez doit être d'un niveau inférieur au sort que vous venez de lancer et ne peut pas être d'un niveau supérieur à 5."
  },
"DIVINATION-Troisième œil":  {
 "Code" : "Troisième œil",
 "Class" : "MAGICIAN",
 "Specialisation" : "DIVINATION","UseNumber" : -1,
 "Description" : "À partir du niveau 10, vous pouvez utiliser votre action pour augmenter vos pouvoirs de perception. Dans ce cas, choisissez l'un des avantages suivants, lequel dure jusqu'à ce que vous soyez incapable d'agir ou que vous preniez un repos, court ou long. Vous ne pouvez pas utiliser de nouveau cette capacité jusqu'à ce que vous terminiez un repos.  Vision dans le noir. Vous gagnez vision dans le noir à 18 mètres. Vision éthérée. Vous pouvez voir dans le plan éthéré dans un rayon de 18 mètres autour de vous. Compréhension ultime. Vous pouvez lire toutes les langues. Voir l'invisible. Vous pouvez voir les créatures et les objets invisibles dans un rayon de 3 mètres autour de vous et dans votre ligne de mire."
  },
"DIVINATION-Présage supérieur":  {
 "Code" : "Présage supérieur",
 "Class" : "MAGICIAN",
 "Specialisation" : "DIVINATION","UseNumber" : -1,
 "Description" : "À partir du niveau 14, les visions de vos rêves s'intensifient et brossent un tableau plus précis dans votre esprit de ce qui va se passer. Vous lancez 3 dés, au lieu de 2, pour votre capacité de Présage."
  },
"ENCHANTMENT-Enchanteur érudit":  {
 "Code" : "Enchanteur érudit",
 "Class" : "MAGICIAN",
 "Specialisation" : "ENCHANTMENT","UseNumber" : -1,
 "Description" : "Au niveau 2, lorsque vous choisissez cette école, l'or et le temps que vous devez dépenser pour copier un sort d'enchantement dans votre grimoire est divisé par deux."
  },
"ENCHANTMENT-Regard hypnotique":  {
 "Code" : "Regard hypnotique",
 "Class" : "MAGICIAN",
 "Specialisation" : "ENCHANTMENT","UseNumber" : -1,
 "Description" : "À partir du niveau 2, vos paroles apaisantes et votre regard envoûtant peuvent captiver votre auditoire. Par une action, vous choisissez une créature que vous pouvez voir située à 1,50 mètre ou moins de vous. Si la cible peut vous voir ou vous entendre, elle doit réussir un jet de sauvegarde de Sagesse contre votre DD de sauvegarde de sorts de magicien, ou vous la charmez jusqu'à la fin de votre prochain tour. La vitesse de la créature charmée est réduite à 0, elle est incapable d'agir, et visiblement étourdie. À chaque tour suivant, vous pouvez utiliser votre action pour maintenir cet effet, prolongeant alors sa durée jusqu'à la fin de votre prochain tour. Cependant, cet effet se termine si vous vous déplacez à plus de 1,50 mètre de la créature, si celle-ci ne peut plus ni vous voir ni vous entendre, ou si elle subit des dégâts. Une fois que l'effet prend fin, ou si la créature réussit son jet de sauvegarde initial contre cet effet, vous ne pouvez plus utiliser cette capacité contre cette créature jusqu'à ce que vous terminiez un repos long."
  },
"ENCHANTMENT-Charme instinctif":  {
 "Code" : "Charme instinctif",
 "Class" : "MAGICIAN",
 "Specialisation" : "ENCHANTMENT","UseNumber" : -1,
 "Description" : "À partir du niveau 6, quand une créature que vous pouvez voir et située à 9 mètres ou moins de vous réalise un jet d'attaque contre vous, vous pouvez utiliser votre réaction pour dévier l'attaque, à condition qu'une autre créature se trouve à portée de l'attaque. L'attaquant doit réaliser un jet de sauvegarde de Sagesse contre votre DD de sauvegarde de sorts de magicien. En cas d'échec, l'attaquant doit cibler la créature la plus proche de lui, autre que vous ou lui-même. Si plusieurs créatures se trouvent en position de cibles potentielles, l'attaquant choisit celle qu'il cible. En cas de jet de sauvegarde réussit, vous ne pouvez plus utiliser cette capacité contre l'attaquant jusqu'à ce que vous terminiez un repos long. Vous devez choisir d'utiliser cette capacité avant de savoir si l'attaque vous touche ou vous manque. Les créatures ne pouvant être charmées sont immunisées à cet effet."
  },
"ENCHANTMENT-Partage d'enchantement":  {
 "Code" : "Partage d'enchantement",
 "Class" : "MAGICIAN",
 "Specialisation" : "ENCHANTMENT","UseNumber" : -1,
 "Description" : "À partir du niveau 10, lorsque vous lancez un sort d'enchantement de niveau 1 ou plus ayant pour cible une seule créature, vous pouvez choisir de cibler avec ce sort une seconde créature."
  },
"ENCHANTMENT-Altération de la mémoire":  {
 "Code" : "Altération de la mémoire",
 "Class" : "MAGICIAN",
 "Specialisation" : "ENCHANTMENT","UseNumber" : -1,
 "Description" : "À partir du niveau 14, vous gagnez la capacité d'influencer par magie une créature sans que celle-ci s'en rende compte. Lorsque vous utilisez un sort d'enchantement pour charmer une ou plusieurs créatures, vous pouvez altérer l'entendement de l'une d'entre elles pour qu'elle ignore le fait d'être charmée. De plus, une fois avant l'expiration du sort, vous pouvez utiliser votre action pour faire que la créature choisie oublie une partie du temps durant lequel elle a été charmée. La créature doit réussir un jet de sauvegarde d’Intelligence contre votre DD de sauvegarde de sorts de magicien ou oublier ses souvenirs sur un nombre d'heures passées égal à 1 + votre modificateur de Charisme (minimum 1 heure). Vous pouvez choisir de diminuer cette durée, et ce temps ne peut pas excéder la durée de votre sort d'enchantement."
  },
"EVOCATION-Évocateur érudit":  {
 "Code" : "Évocateur érudit",
 "Class" : "MAGICIAN",
 "Specialisation" : "EVOCATION","UseNumber" : -1,
 "Description" : "Au niveau 2, l'or et le temps que vous devez passer pour copier un sort d'évocation dans votre grimoire sont réduits de moitié."
  },
"EVOCATION-Façonneur de sorts":  {
 "Code" : "Façonneur de sorts",
 "Class" : "MAGICIAN",
 "Specialisation" : "EVOCATION","UseNumber" : -1,
 "Description" : "À partir du niveau 2, vous pouvez créer des poches de relative sécurité dans les effets de vos sorts d'évocation. Lorsque vous lancez un sort d'évocation qui affecte d'autres créatures que vous pouvez voir, vous pouvez choisir un nombre d'entre elles égal à 1 + le niveau du sort. Les créatures choisies réussissent automatiquement leur jet de sauvegarde contre le sort, et ne prennent pas de dégâts si elles devraient normalement prendre la moitié des dégâts sur un jet de sauvegarde réussi."
  },
"EVOCATION-Sort mineur puissant":  {
 "Code" : "Sort mineur puissant",
 "Class" : "MAGICIAN",
 "Specialisation" : "EVOCATION","UseNumber" : -1,
 "Description" : "À partir du niveau 6, vos sorts mineurs qui provoquent des dégâts affectent même les créatures qui évitent leurs effets. Quand une créature réussit un jet de sauvegarde contre un de vos sorts mineurs, la créature prend la moitié des dégâts du sort (le cas échéant), mais ne souffre pas d'effet supplémentaire du sort."
  },
"EVOCATION-Évocation améliorée":  {
 "Code" : "Évocation améliorée",
 "Class" : "MAGICIAN",
 "Specialisation" : "EVOCATION","UseNumber" : -1,
 "Description" : "À partir du niveau 10, si vous lancez un sort de magicien d’évocation, vous pouvez ajouter votre modificateur d’Intelligence à un (et un seul) jet de dégâts."
  },
"EVOCATION-Surcharge magique":  {
 "Code" : "Surcharge magique",
 "Class" : "MAGICIAN",
 "Specialisation" : "EVOCATION","UseNumber" : -1,
 "Description" : "À partir du niveau 14, vous pouvez augmenter la puissance de vos sorts les plus simples. Lorsque vous lancez un sort de magicien d'un niveau compris entre 1 et 5 qui inflige des dégâts, vous pouvez infliger le maximum de dégâts avec ce sort. La première fois que vous le faites, vous ne souffrez d'aucun effet indésirable. Si vous utilisez à nouveau cette capacité avant la fin d'un repos long, vous subissez 2d12 dégâts nécrotiques pour chaque niveau du sort, immédiatement après l'avoir lancé. Chaque fois que vous utilisez à nouveau cette capacité avant de terminer un repos long, les dégâts nécrotiques par niveau des sorts augmentent de 1d12. Ces dégâts ignorent la résistance et l'immunité."
  },
"ILLUSION-Illusionniste érudit":  {
 "Code" : "Illusionniste érudit",
 "Class" : "MAGICIAN",
 "Specialisation" : "ILLUSION","UseNumber" : -1,
 "Description" : "Au niveau 2, lorsque vous choisissez cette école, l'or et le temps que vous devez dépenser pour copier un sort d'illusion dans votre grimoire est divisé par deux."
  },
"ILLUSION-Illusion mineure améliorée":  {
 "Code" : "Illusion mineure améliorée",
 "Class" : "MAGICIAN",
 "Specialisation" : "ILLUSION","Stats" : true,
 "Description" : "Au niveau 2, vous apprenez le sort mineur illusion mineure. Si vous connaissez déjà ce sort mineur, vous apprenez un autre sort mineur de magicien de votre choix. Le sort mineur ne compte pas dans votre nombre de sorts mineurs connus. Quand vous lancez illusion mineure, vous pouvez créer à la fois un son et une image avec un seul sort."
  },
"ILLUSION-Illusions malléables":  {
 "Code" : "Illusions malléables",
 "Class" : "MAGICIAN",
 "Specialisation" : "ILLUSION","UseNumber" : -1,
 "Description" : "À partir du niveau 6, lorsque vous lancez un sort d'illusion qui possède une durée de 1 minute ou plus, vous pouvez utiliser votre action pour changer la nature de cette illusion (en respectant les paramètres normaux du sort pour l'illusion), à condition que vous puissiez voir l'illusion."
  },
"ILLUSION-Double illusoire":  {
 "Code" : "Double illusoire",
 "Class" : "MAGICIAN",
 "Specialisation" : "ILLUSION","UseNumber" : -1,
 "Description" : "À partir du niveau 10, vous pouvez créer une copie illusoire de vous-même en un instant, comme un réflexe instinctif face à un danger. Quand une créature fait un jet d'attaque contre vous, vous pouvez utiliser votre réaction pour interposer ce double illusoire entre l'attaquant et vous-même. L'attaque vous manque automatiquement, et l'illusion se dissipe. Une fois que vous utilisez cette capacité, vous ne pouvez plus l'utiliser à nouveau jusqu'à ce que vous terminiez un repos court ou long."
  },
"ILLUSION-Réalité illusoire":  {
 "Code" : "Réalité illusoire",
 "Class" : "MAGICIAN",
 "Specialisation" : "ILLUSION","UseNumber" : -1,
 "Description" : "Au niveau 14, vous avez appris le secret pour tisser la magie des ombres dans vos illusions et leur donner une semi-réalité. Lorsque vous lancez un sort d'illusion de niveau 1 ou plus, vous pouvez choisir un objet inanimé non magique qui fait partie de l'illusion et en faire un objet réel. Vous pouvez le faire à votre tour par une action bonus lorsque le sort est en cours. L'objet reste réel pendant 1 minute. Par exemple, vous pouvez créer l'illusion d'un pont au-dessus d'un abîme, puis en faire une réalité assez longtemps pour que vos alliés puissent le traverser. L'objet ne peut pas infliger de dégâts ou nuire directement à quiconque."
  },
"INVOCATION-Invocateur érudit":  {
 "Code" : "Invocateur érudit",
 "Class" : "MAGICIAN",
 "Specialisation" : "INVOCATION","UseNumber" : -1,
 "Description" : "Au niveau 2, lorsque vous choisissez cette école, l'or et le temps que vous devez dépenser pour copier un sort d'invocation dans votre grimoire est divisé par deux."
  },
"INVOCATION-Invocation mineure":  {
 "Code" : "Invocation mineure",
 "Class" : "MAGICIAN",
 "Specialisation" : "INVOCATION","UseNumber" : -1,
 "Description" : "À partir du niveau 2, vous pouvez utiliser votre action pour invoquer un objet inanimé dans votre main ou au sol dans un espace inoccupé que vous pouvez voir et dans un rayon de 3 mètres autour de vous. Cet objet ne peut être supérieur à 1 mètre de côté et ne peut peser plus de 5 kilos, et sa forme doit être celle d'un objet non magique que vous avez déjà vu. L'objet est visiblement magique, rayonnant une lumière tamisée sur 1,50 mètre. L'objet disparaît après 1 heure, lorsque vous utilisez cette capacité à nouveau, ou s'il prend ou inflige des dommages."
  },
</v>
      </c>
    </row>
    <row r="448" spans="1:9">
      <c r="A448" s="55"/>
      <c r="B448" s="18"/>
      <c r="I448" t="str">
        <f>CONCATENATE(I229,",
",I230,",
",I231,",
",I232,",
",I233,",
",I234,",
",I235,",
",I236,",
",I237,",
",I238,",
",I239,",
",I240,",
",I241,",
",I242,",
",I243,",
",I244,",
",I245,",
",I246,",
",I247,",
",I248,",
",I249,",
",I250,",
",I251,",
",I252,",
",I253,",
",I254,",
",I255,",
",I256,",
",I257,",
",I258,",
",I259,",
",I260,",
",I261,",
",I262,",
",I263,",
",I264,",
",I265,",
",I266,",
",I267,",
",I268,",
",I269,",
",I270,",
",I271,",
",I272,",
",I273,",
",I274,",
",I275,",
",I276,",
",I277,",
")</f>
        <v xml:space="preserve">"INVOCATION-Transposition bénigne":  {
 "Code" : "Transposition bénigne",
 "Class" : "MAGICIAN",
 "Specialisation" : "INVOCATION","UseNumber" : -1,
 "Description" : "À partir du niveau 6, vous pouvez utiliser votre action pour vous téléporter jusqu'à 9 mètres dans un espace inoccupé que vous pouvez voir. Vous pouvez également choisir un espace à portée qui est occupé par une créature de taille P ou M. Si cette créature est consentante, vous vous téléportez tous les deux, en échangeant vos places. Une fois que vous avez utilisé cette capacité, vous ne pouvez plus l'utiliser à nouveau jusqu'à ce que vous terminiez un repos long ou que vous lanciez un sort d'invocation de niveau 1 ou supérieur."
  },
"INVOCATION-Invocateur concentré":  {
 "Code" : "Invocateur concentré",
 "Class" : "MAGICIAN",
 "Specialisation" : "INVOCATION","UseNumber" : -1,
 "Description" : "À partir du niveau 10, lorsque vous vous concentrez sur un sort d'invocation, votre concentration ne peut être brisée par le fait de prendre des dégâts."
  },
"INVOCATION-Invocations durables":  {
 "Code" : "Invocations durables",
 "Class" : "MAGICIAN",
 "Specialisation" : "INVOCATION","UseNumber" : -1,
 "Description" : "À partir de niveau 14, une créature que vous invoquez ou créez avec un sort d'invocation possède 30 points de vie temporaires."
  },
"NECROMANCY-Nécromancien érudit":  {
 "Code" : "Nécromancien érudit",
 "Class" : "MAGICIAN",
 "Specialisation" : "NECROMANCY","UseNumber" : -1,
 "Description" : "Au niveau 2, lorsque vous choisissez cette école, l'or et le temps que vous devez dépenser pour copier un sort de nécromancie dans votre grimoire est réduit de moitié."
  },
"NECROMANCY-Sinistre moisson":  {
 "Code" : "Sinistre moisson",
 "Class" : "MAGICIAN",
 "Specialisation" : "NECROMANCY","UseNumber" : -1,
 "Description" : "Au niveau 2, vous gagnez la possibilité de récolter l'énergie de la vie des créatures que vous tuez avec vos sorts. Une fois par tour, quand vous tuez une ou plusieurs créatures avec un sort de niveau 1 ou plus, vous regagnez un nombre de points de vie égal au double du niveau de sort, ou au triple du niveau si le sort appartient à l'école de nécromancie. Cet avantage ne s'applique pas lorsque vous tuez des créatures artificielles ou des morts-vivants."
  },
"NECROMANCY-Serviteurs morts-vivants":  {
 "Code" : "Serviteurs morts-vivants",
 "Class" : "MAGICIAN",
 "Specialisation" : "NECROMANCY","UseNumber" : -1,
 "Description" : "Au niveau 6, vous ajoutez le sort animation des morts à votre grimoire s’il n'y est pas déjà. Quand vous lancez animation des morts, vous pouvez cibler un cadavre ou un tas d'os supplémentaire, créant un autre zombi ou squelette, le cas échéant. Chaque fois que vous créez un mort-vivant en utilisant un sort de nécromancie, il obtient des avantages supplémentaires :  Les points de vie maximums de la créature sont augmentés d'un montant égal à votre niveau de magicien. La créature ajoute votre bonus de maîtrise à ses jets de dégâts avec une arme."
  },
"NECROMANCY-Résistance à la non-vie":  {
 "Code" : "Résistance à la non-vie",
 "Class" : "MAGICIAN",
 "Specialisation" : "NECROMANCY","Stats" : true,
 "Description" : "À partir du niveau 10, vous avez la résistance aux dégâts nécrotiques, et vos points de vie maximums ne peuvent être réduits. Vous avez passé tant de temps face à des morts-vivants que les forces qui les animent vous ont habitué à certains de leurs pires effets."
  },
"NECROMANCY-Contrôle des morts-vivants":  {
 "Code" : "Contrôle des morts-vivants",
 "Class" : "MAGICIAN",
 "Specialisation" : "NECROMANCY","UseNumber" : -1,
 "Description" : "À partir du niveau 14, vous pouvez utiliser la magie pour contrôler des morts-vivants, même ceux créés par d'autres magiciens. En dépensant une action vous pouvez choisir un mort-vivant situé dans un rayon de 18 mètres autour de vous et que vous pouvez voir. Cette créature doit faire un jet de sauvegarde de Charisme contre votre DD de sauvegarde contre vos sorts. Si elle réussit, vous ne pouvez plus utiliser cette capacité de nouveau sur elle. Si elle échoue, elle devient amicale envers vous et obéit à vos ordres jusqu'à ce que vous utilisiez cette capacité de nouveau.  Les morts-vivants intelligents sont plus difficiles à contrôler de cette façon. Si la cible a une Intelligence de 8 ou plus, elle a l'avantage à son jet de sauvegarde. Si elle échoue au jet de sauvegarde et possède une Intelligence de 12 ou plus, elle peut répéter son jet de sauvegarde à la fin de chaque heure, jusqu'à ce qu'elle réussisse et se libère."
  },
"TRANSMUTATION-Transmutateur érudit":  {
 "Code" : "Transmutateur érudit",
 "Class" : "MAGICIAN",
 "Specialisation" : "TRANSMUTATION","UseNumber" : -1,
 "Description" : "Au niveau 2, lorsque vous choisissez cette école, l'or et le temps que vous devez dépenser pour copier un sort de transmutation dans votre grimoire est réduit de moitié."
  },
"TRANSMUTATION-Alchimie mineure":  {
 "Code" : "Alchimie mineure",
 "Class" : "MAGICIAN",
 "Specialisation" : "TRANSMUTATION","UseNumber" : -1,
 "Description" : "À partir du niveau 2 vous pouvez altérer temporairement les propriétés physiques d'un objet non-magique, transformant sa substance en une autre. Vous exécutez un processus alchimique spécial sur un objet composé entièrement de bois, de pierre (non-précieuse), de fer, de cuivre ou d'argent, pour le transmuter en un autre de ces matériaux. Pour chaque tranche de 10 minutes passée à exécuter le processus, vous pouvez transformer 30 centimètres cubes de matériaux. Au bout de 1 heure, ou si vous perdez votre concentration (de la même manière que si vous vous concentriez sur un sort), la matière retrouve sa substance originale."
  },
"TRANSMUTATION-Pierre du transmutateur":  {
 "Code" : "Pierre du transmutateur",
 "Class" : "MAGICIAN",
 "Specialisation" : "TRANSMUTATION","UseNumber" : -1,
 "Description" : "À partir du niveau 6, vous pouvez passer 8 heures pour créer une pierre du transmutateur capable de contenir de la magie de transmutation. Vous pouvez utiliser la pierre vous-même ou la donner à une autre créature. Une créature gagne un avantage de votre choix tant que la pierre est en sa possession. Quand vous créez la pierre, choisissez son avantage parmi les options suivantes :  Augmentation de la vitesse de 3 mètres quand la créature n'est pas encombrée Maîtrise des jets de sauvegarde de Constitution Résistance à l'acide, au feu, à la foudre, au froid ou au tonnerre (à choisir en même temps que l'avantage) Vision dans le noir à une distance de 18 mètres, telle que décrit dans le chapitre Partir à l'aventure Chaque fois que vous lancez un sort de transmutation de niveau 1 ou plus, vous pouvez changer l'effet de votre pierre si celle-ci est en votre possession. Si vous créez une nouvelle pierre du transmutateur, celle précédemment créée cesse de fonctionner."
  },
"TRANSMUTATION-Métamorphe":  {
 "Code" : "Métamorphe",
 "Class" : "MAGICIAN",
 "Specialisation" : "TRANSMUTATION","UseNumber" : -1,
 "Description" : "Au niveau 10, vous ajoutez le sort métamorphose dans votre livre de sorts, s'il n'y est pas déjà inscrit. Vous pouvez lancez métamorphose sans dépenser d'emplacement de sort. En lançant le sort de cette manière, vous ne pouvez que vous cibler vous-même et vous transformer en une bête dont le facteur puissance est de 1 ou moins. Après avoir lanc&amp;eacute métamorphose de cette manière, vous ne pouvez plus le faire jusqu'à ce que vous terminiez un repos court ou long, bien que vous puissiez le lancer normalement en utilisant un emplacement de sort disponible."
  },
"TRANSMUTATION-Maître transmutateur":  {
 "Code" : "Maître transmutateur",
 "Class" : "MAGICIAN",
 "Specialisation" : "TRANSMUTATION","UseNumber" : -1,
 "Description" : "À partir du niveau 14, vous pouvez utiliser votre action pour consumer la réserve de magie de transmutation stockée dans votre pierre du transmutateur en une seule explosion d'énergie. En agissant ainsi, choisissez l'un des effets suivants. Votre pierre du transmutateur est alors détruite et ne peut être recréée avant que vous ne terminiez un repos long.  Panacée. Vous mettez fin à toutes les maladies, malédictions et poisons qui affectent une créature en contact avec la pierre du transmutateur. La créature regagne également tous ses points de vie. Rajeunissement. Vous touchez avec la pierre du transmutateur une créature consentante, et l'âge apparent de cette créature est réduit de 3d10 années, jusqu'à un minimum de 13 ans d'âge. Cet effet n'augmente pas l’espérance de vie de la créature. Retour à la vie. Vous lancez le sort rappel à la vie sur une créature que vous touchez au moyen de la pierre du transmutateur, sans avoir besoin d'utiliser un emplacement de sort ou d'avoir le sort écrit dans votre livre de sorts. Transformation majeure. Vous pouvez transmuter un objet non-magique (pas plus grand qu'un cube de 1,50 mètre d'arêtes) en un autre objet non-magique de taille similaire et de masse égale ou inférieure. Vous devez passer 10 minutes à manipuler l'objet pour pouvoir le transformer."
  },
"MONK-Défense sans armure":  {
 "Code" : "Défense sans armure",
 "Class" : "MONK",
 "Specialisation" : "","Stats" : true,"Auto" : true,
 "Description" : "Dès le niveau 1, tant que vous n'êtes équipé ni d'une armure, ni d'un bouclier, votre CA est égale à 10 + votre modificateur de Dextérité + votre modificateur de Sagesse."
  },
"MONK-Tradition monastique":  {
 "Code" : "Tradition monastique",
 "Class" : "MONK",
 "Specialisation" : "","Stats" : true,
 "Description" : "Au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
  },
"MONK-Arts martiaux":  {
 "Code" : "Arts martiaux",
 "Class" : "MONK",
 "Specialisation" : "","UseNumber" : -1,
 "Description" : "Au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  Vous pouvez utiliser la Dextérité à la place de la Force aux jets d'attaque et de dégâts de vos attaques à mains nues et avec des armes de moine. Vous pouvez lancer un d4 à la place des dégâts normaux de votre attaque à mains nues ou de vos armes de moine. Ce dé change lorsque vous gagnez des niveaux de moine, comme indiqué dans la colonne Arts martiaux de la table ci-dessus. 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  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
  },
"MONK-Ki":  {
 "Code" : "Ki",
 "Class" : "MONK",
 "Specialisation" : "","Stats" : true,"Auto" : true,"Special" : true,
 "Description" : "À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  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  DD du jet de sauvegarde du ki = 8 + votre bonus de maîtrise + votre modificateur de Sagesse"
  },
"MONK-Défense patiente":  {
 "Code" : "Défense patiente",
 "Class" : "MONK",
 "Specialisation" : "","Special" : true,
 "Description" : "Vous pouvez dépenser 1 point ki pour utiliser l'action Esquiver via une action bonus au cours de votre tour."
  },
"MONK-Déluge de coups":  {
 "Code" : "Déluge de coups",
 "Class" : "MONK",
 "Specialisation" : "","Special" : true,
 "Description" : "Immédiatement après avoir utilisé une action Attaquer au cours de votre tour, vous pouvez dépenser 1 point ki pour effectuer deux attaques à mains nues via une action bonus."
  },
"MONK-Déplacement aérien":  {
 "Code" : "Déplacement aérien",
 "Class" : "MONK",
 "Specialisation" : "","Special" : true,
 "Description" : "Vous pouvez dépenser 1 point ki pour utiliser l'action Se Désengager ou l'action Foncer via une action bonus au cours de votre tour, de plus votre distance de saut est doublée pour le tour."
  },
"MONK-Déplacement sans armure":  {
 "Code" : "Déplacement sans armure",
 "Class" : "MONK",
 "Specialisation" : "","Stats" : true,"Auto" : true,
 "Description" : "À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
  },
"MONK-Parade de projectiles":  {
 "Code" : "Parade de projectiles",
 "Class" : "MONK",
 "Specialisation" : "","UseNumber" : -1,
 "Description" : "À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
  },
"MONK-Amélioration de caractéristiques":  {
 "Code" : "Amélioration de caractéristiques",
 "Class" : "MONK",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"MONK-Chute ralentie":  {
 "Code" : "Chute ralentie",
 "Class" : "MONK",
 "Specialisation" : "","UseNumber" : -1,
 "Description" : "Dès le niveau 4, vous pouvez utiliser votre réaction lorsque vous tombez pour réduire les dégâts consécutifs à une chute d'un montant égal à cinq fois votre niveau de moine."
  },
"MONK-Attaque supplémentaire":  {
 "Code" : "Attaque supplémentaire",
 "Class" : "MONK",
 "Specialisation" : "","UseNumber" : -1,
 "Description" : "À partir du niveau 5, vous pouvez attaquer deux fois, au lieu d'une, lorsque vous utiliser une action Attaquer lors de votre tour."
  },
"MONK-Frappe étourdissante":  {
 "Code" : "Frappe étourdissante",
 "Class" : "MONK",
 "Specialisation" : "","UseNumber" : -1,
 "Description" : "À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
  },
"MONK-Frappes de ki":  {
 "Code" : "Frappes de ki",
 "Class" : "MONK",
 "Specialisation" : "","UseNumber" : -1,
 "Description" : "À partir du niveau 6, vos attaques à mains nues sont considérées comme des attaques magiques pour ce qui est de vaincre la résistance et l'immunité aux attaques et dégâts non-magiques."
  },
"MONK-Dérobade":  {
 "Code" : "Dérobade",
 "Class" : "MONK",
 "Specialisation" : "","UseNumber" : -1,
 "Description" : "Au niveau 7, votre agilité instinctive vous permet d'esquiver certains effets de zone, comme le souffle d'un dragon bleu ou le sort boule de feu. Lorsque vous êtes sujet à un effet qui vous autorise un jet de sauvegarde de Dextérité pour ne subir que la moitié de ses dégâts initiaux, vous ne subissez aucun dégât si vous réussissez votre jet de sauvegarde, et seulement la moitié des dégâts si vous l'échouez."
  },
"MONK-Tranquillité de l'esprit":  {
 "Code" : "Tranquillité de l'esprit",
 "Class" : "MONK",
 "Specialisation" : "","UseNumber" : -1,
 "Description" : "À partir du niveau 7, vous pouvez utiliser votre action pour mettre fin à un effet qui vous affecte et vous inflige la condition charmé ou effrayé."
  },
"MONK-Pureté du corps":  {
 "Code" : "Pureté du corps",
 "Class" : "MONK",
 "Specialisation" : "","Stats" : true,"UseNumber" : -1,
 "Description" : "Au niveau 10, votre maîtrise du flux de ki qui vous parcourt vous immunise aux maladies et aux poisons."
  },
"MONK-Langage du soleil et de la lune":  {
 "Code" : "Langage du soleil et de la lune",
 "Class" : "MONK",
 "Specialisation" : "","UseNumber" : -1,
 "Description" : "À partir du niveau 13, vous apprenez à entrer en contact avec le ki d'autres consciences, ce qui vous permet de comprendre toutes les langues parlées. De plus, toute créature qui peut comprendre un langage peut comprendre ce que vous dites."
  },
"MONK-Âme de diamant":  {
 "Code" : "Âme de diamant",
 "Class" : "MONK",
 "Specialisation" : "","Stats" : true,
 "Description" : "Dès le niveau 14, votre maîtrise du ki vous confère la maîtrise de tous les jets de sauvegarde. De plus, lorsque vous effectuez un jet de sauvegarde et l'échouez, vous pouvez dépenser 1 point ki pour le retenter ; vous devez prendre ce second résultat."
  },
"MONK-Jeunesse éternelle":  {
 "Code" : "Jeunesse éternelle",
 "Class" : "MONK",
 "Specialisation" : "","UseNumber" : -1,
 "Description" : "Au niveau 15, votre ki vous sustente, ce qui fait que vous ne souffrez plus des affres de la vieillesse, et vous ne pouvez plus être vieilli par magie. Vous pouvez cependant toujours mourir de vieillesse. Enfin, vous n'avez plus besoin de manger ni de boire."
  },
"MONK-Corps vide":  {
 "Code" : "Corps vide",
 "Class" : "MONK",
 "Specialisation" : "","Special" : true,
 "Description" : "À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
  },
"MONK-Perfection de l'être":  {
 "Code" : "Perfection de l'être",
 "Class" : "MONK",
 "Specialisation" : "","UseNumber" : -1,
 "Description" : "Au niveau 20, lorsque vous lancez l'initiative et n'avez plus de points de ki disponibles, vous regagnez 4 points ki."
  },
"OPENED_HAND_WAY-Technique de la main ouverte":  {
 "Code" : "Technique de la main ouverte",
 "Class" : "MONK",
 "Specialisation" : "OPENED_HAND_WAY","UseNumber" : -1,
 "Description" : "Dès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  Elle doit réussir un jet de sauvegarde de Dextérité sous peine de tomber à terre. Elle doit réussir un jet de sauvegarde de Force. En cas d'échec, vous pouvez la repousser de 4,50 mètres. Elle ne peut utiliser de réaction jusqu'à la fin de votre prochain tour."
  },
"OPENED_HAND_WAY-Intégrité physique":  {
 "Code" : "Intégrité physique",
 "Class" : "MONK",
 "Specialisation" : "OPENED_HAND_WAY","UseNumber" : -1,
 "Description" : "Au niveau 6, vous gagnez la capacité de vous soigner vous-même. Par une action, vous pouvez récupérer un nombre de points de vie égal à trois fois votre niveau de moine. Vous devez terminer un repos long avant de pouvoir utiliser de nouveau cette capacité."
  },
"OPENED_HAND_WAY-Tranquillité":  {
 "Code" : "Tranquillité",
 "Class" : "MONK",
 "Specialisation" : "OPENED_HAND_WAY","UseNumber" : -1,
 "Description" : "À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
  },
"OPENED_HAND_WAY-Paume frémissante":  {
 "Code" : "Paume frémissante",
 "Class" : "MONK",
 "Specialisation" : "OPENED_HAND_WAY","UseNumber" : -1,
 "Description" : "Au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
  },
"SHADOW_WAY-Arts de l'ombre":  {
 "Code" : "Arts de l'ombre",
 "Class" : "MONK",
 "Specialisation" : "SHADOW_WAY","Special" : true,
 "Description" : "Dès que vous choisissez cette voie au niveau 3, vous pouvez utiliser votre ki pour reproduire les effets de certains sorts. Par une action, vous pouvez dépenser 2 points ki pour lancer ténèbres, vision dans le noir, passage sans trace ou silence, sans avoir besoin de fournir les composantes matérielles. De plus, vous gagnez le sort mineur illusion mineure si vous ne le connaissez pas déjà."
  },
"SHADOW_WAY-Pas de l'ombre":  {
 "Code" : "Pas de l'ombre",
 "Class" : "MONK",
 "Specialisation" : "SHADOW_WAY","UseNumber" : -1,
 "Description" : "Au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
  },
"SHADOW_WAY-Linceul d'ombre":  {
 "Code" : "Linceul d'ombre",
 "Class" : "MONK",
 "Specialisation" : "SHADOW_WAY","UseNumber" : -1,
 "Description" : "Au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
  },
"SHADOW_WAY-Opportuniste":  {
 "Code" : "Opportuniste",
 "Class" : "MONK",
 "Specialisation" : "SHADOW_WAY","UseNumber" : -1,
 "Description" : "Au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
  },
"ELEMENTS_WAY-Disciple des éléments":  {
 "Code" : "Disciple des éléments",
 "Class" : "MONK",
 "Specialisation" : "ELEMENTS_WAY","UseNumber" : -1,
 "Description" : "Lorsque vous choisissez cette tradition au niveau 3, vous apprenez des techniques magiques qui exploitent le pouvoir des quatre éléments. Une technique requiert que vous dépensiez des points ki à chaque fois que vous l'utilisez.  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  Lancement de sorts élémentaires.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mains brûlantes. Le niveau du sort augmente de 1 pour chaque point ki supplémentaire que vous dépensez. Par exemple, si vous êtes un moine de niveau 5 et utilisez le Toucher des cendres ravageuses pour lancer mains brûlantes,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  Niveaux de moine	Maximum de points ki par sort 5-8	                3 9-12	            4 13-16	            5 17-20	            6"
  },
"ELEMENTS_WAY-Chevauchée du vent":  {
 "Code" : "Chevauchée du vent",
 "Class" : "MONK",
 "Specialisation" : "ELEMENTS_WAY","Special" : true,
 "Description" : "(niveau 11 requis). Vous pouvez dépenser 4 points ki pour lancer le sort vol, en vous ciblant."
  },
"ELEMENTS_WAY-Crochets du serpent de feu":  {
 "Code" : "Crochets du serpent de feu",
 "Class" : "MONK",
 "Specialisation" : "ELEMENTS_WAY","Special" : true,
 "Description" :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
  },
"ELEMENTS_WAY-Défense de la montagne éternelle":  {
 "Code" : "Défense de la montagne éternelle",
 "Class" : "MONK",
 "Specialisation" : "ELEMENTS_WAY","Special" : true,
 "Description" : "(niveau 17 requis). Vous pouvez dépenser 5 points ki pour lancer sur vous-même le sort peau de pierre."
  },
"ELEMENTS_WAY-Façonnage de la rivière":  {
 "Code" : "Façonnage de la rivière",
 "Class" : "MONK",
 "Specialisation" : "ELEMENTS_WAY","Special" : true,
 "Description" :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
  },
"ELEMENTS_WAY-Flammes du phénix":  {
 "Code" : "Flammes du phénix",
 "Class" : "MONK",
 "Specialisation" : "ELEMENTS_WAY","Special" : true,
 "Description" : "(niveau 11 requis). Vous pouvez dépenser 4 points ki pour lancer le sort boule de feu."
  },
</v>
      </c>
    </row>
    <row r="449" spans="1:9">
      <c r="A449" s="55"/>
      <c r="B449" s="18"/>
      <c r="I449" t="str">
        <f>CONCATENATE(I278,",
",I279,",
",I280,",
",I281,",
",I282,",
",I283,",
",I284,",
",I285,",
",I286,",
",I287,",
",I288,",
",I289,",
",I290,",
",I291,",
",I292,",
",I293,",
",I294,",
",I295,",
",I296,",
",I297,",
",I298,",
",I299,",
",I300,",
",I301,",
",I302,",
",I303,",
",I304,",
",I305,",
",I306,",
",I307,",
",I308,",
",I309,",
",I310,",
",I311,",
",I312,",
",I313,",
",I314,",
",I315,",
",I316,",
",I317,",
",I318,",
",I319,",
",I320,",
",I321,",
",I322,",
",I323,",
",I324,",
",I325)</f>
        <v>"ELEMENTS_WAY-Forme brumeuse":  {
 "Code" : "Forme brumeuse",
 "Class" : "MONK",
 "Specialisation" : "ELEMENTS_WAY","Special" : true,
 "Description" : "(niveau 11 requis). Vous pouvez dépenser 4 points ki pour lancer sur vous-même le sort forme gazeuse."
  },
"ELEMENTS_WAY-Fouet d'eau":  {
 "Code" : "Fouet d'eau",
 "Class" : "MONK",
 "Specialisation" : "ELEMENTS_WAY","Special" : true,
 "Description" :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
  },
"ELEMENTS_WAY-Frappe incandescente écrasante":  {
 "Code" : "Frappe incandescente écrasante",
 "Class" : "MONK",
 "Specialisation" : "ELEMENTS_WAY","Special" : true,
 "Description" : "Vous pouvez dépenser 2 points ki pour lancer le sort mains brûlantes."
  },
"ELEMENTS_WAY-Gong du sommet":  {
 "Code" : "Gong du sommet",
 "Class" : "MONK",
 "Specialisation" : "ELEMENTS_WAY","Special" : true,
 "Description" : "(niveau 6 requis). Vous pouvez dépenser 3 points ki pour lancer le sort fracassement."
  },
"ELEMENTS_WAY-Lien élémentaire":  {
 "Code" : "Lien élémentaire",
 "Class" : "MONK",
 "Specialisation" : "ELEMENTS_WAY","UseNumber" : -1,
 "Description" : "Vous pouvez utiliser votre action pour contrôler brièvement les forces élémentaires dans un rayon de 9 mètres autour de vous, provoquant l'un des effets suivants de votre choix :  Créer un effet sensoriel inoffensif et instantané en relation avec l'air, la terre, le feu ou l'eau, comme une pluie d'étincelles, une bouffée d'air, un jet de brume éparse ou un léger frémissement de pierres. Allumer ou éteindre instantanément une bougie, une torche ou un petit feu de camp. Refroidir ou réchauffer jusqu'à 500 g de matière non-vivante pour 1 heure. Modeler le feu, la terre, l'eau ou la brume (pour un volume maximal équivalent à un cube de 30 cm d'arêtes) pour lui donner une forme grossière de votre choix pendant 1 minute."
  },
"ELEMENTS_WAY-Poigne du vent du nord":  {
 "Code" : "Poigne du vent du nord",
 "Class" : "MONK",
 "Specialisation" : "ELEMENTS_WAY","Special" : true,
 "Description" : "(niveau 6 requis). Vous pouvez dépenser 3 points ki pour lancer immobilisation de personne."
  },
"ELEMENTS_WAY-Poing de l'air":  {
 "Code" : "Poing de l'air",
 "Class" : "MONK",
 "Specialisation" : "ELEMENTS_WAY","UseNumber" : -1,
 "Description" :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
  },
"ELEMENTS_WAY-Poing des quatre tonnerres":  {
 "Code" : "Poing des quatre tonnerres",
 "Class" : "MONK",
 "Specialisation" : "ELEMENTS_WAY","Special" : true,
 "Description" : "Vous pouvez dépenser 2 points ki pour lancer le sort onde de choc."
  },
"ELEMENTS_WAY-Rivière de la flamme affamée":  {
 "Code" : "Rivière de la flamme affamée",
 "Class" : "MONK",
 "Specialisation" : "ELEMENTS_WAY","Special" : true,
 "Description" : "(niveau 17 requis). Vous pouvez dépenser 5 points ki pour lancer le sort mur de feu."
  },
"ELEMENTS_WAY-Ruée des esprits du vent":  {
 "Code" : "Ruée des esprits du vent",
 "Class" : "MONK",
 "Specialisation" : "ELEMENTS_WAY","Special" : true,
 "Description" : "Vous pouvez dépenser 2 points ki pour lancer le sort bourrasque."
  },
"ELEMENTS_WAY-Souffle de l'hiver":  {
 "Code" : "Souffle de l'hiver",
 "Class" : "MONK",
 "Specialisation" : "ELEMENTS_WAY","Special" : true,
 "Description" : "(niveau 17 requis). Vous pouvez dépenser 6 points ki pour lancer cône de froid."
  },
"ELEMENTS_WAY-Vague de terre grondante":  {
 "Code" : "Vague de terre grondante",
 "Class" : "MONK",
 "Specialisation" : "ELEMENTS_WAY","Special" : true,
 "Description" : "(niveau 17 requis). Vous pouvez dépenser 6 points ki pour lancer le sort mur de pierre."
  },
"MYSTICAL-Talents psioniques":  {
 "Code" : "Talents psioniques",
 "Class" : "MYSTICAL",
 "Specialisation" : "","Stats" : true,
 "Description" : "Un talent psionique est un effet psionique mineur que vous avez dominé. Au niveau 1, vous ne connaissez qu'un seul talent psionique de votre choix. Vous en apprendrez davantage en gagnant des niveaux de personnage, comme indiqué dans la colonne Talents connus dans la table ci-dessus."
  },
"MYSTICAL-Disciplines psioniques":  {
 "Code" : "Disciplines psioniques",
 "Class" : "MYSTICAL",
 "Specialisation" : "","Stats" : true,
 "Description" : "Une discipline psionique est un ensemble rigide d’exercices mentaux qui permettent au mystique de manifester ses pouvoirs psioniques. Un mystique ne domine que quelques disciplines à la fois.  Au niveau 1, vous ne connaissez qu'une seule discipline de votre choix. Vous en apprendrez davantage en gagnant des niveaux de personnage, comme indiqué dans la colonne Disciplines connues dans la table ci-dessus. De plus, lorsque vous gagnez un niveau dans cette classe, vous pouvez remplacer une discipline que vous connaissez par une autre de votre choix."
  },
"MYSTICAL-Points psi":  {
 "Code" : "Points psi",
 "Class" : "MYSTICAL",
 "Specialisation" : "","Stats" : true,"Auto" : true,
 "Description" : "Vous possédez une réserve interne d'énergie qui peut être dévouée aux disciplines psioniques que vous connaissez. Cette énergie est représentée par les points psi. Chaque discipline décrit des effets que vous pouvez créer en dépensant le montant de points psi approprié. Les talents psioniques ne requièrent pas de points psi.  Le nombre de points psi que vous possédez dépend de votre niveau de mystique, comme indiqué dans la colonne Points psi dans la table ci-dessus. Le nombre indique votre maximum de points psi selon votre niveau. Votre total de points psi retrouve sa valeur maximum lorsque vous terminez un repos long. Vous ne pouvez pas avoir moins de 0 point psi ou plus que votre maximum."
  },
"MYSTICAL-Limite psi":  {
 "Code" : "Limite psi",
 "Class" : "MYSTICAL",
 "Specialisation" : "","UseNumber" : -1,
 "Description" : "Bien que vous ayez accès à une puissante quantité d'énergie psionique, il faut de l'entrainement et de la pratique pour canaliser cette énergie. Il y a une limite au nombre de points psi que vous pouvez dépenser pour activer une discipline psionique, en fonction de votre niveau de mystique, comme indiqué dans la colonne Limite psi de la table ci-dessus. Par exemple, un mystique de niveau 3 ne peut pas dépenser plus de 3 psi points sur une discipline chaque fois qu'il l'utilise, peu importe le nombre psi qu'il possède."
  },
"MYSTICAL-Focaliseur psychique":  {
 "Code" : "Focaliseur psychique",
 "Class" : "MYSTICAL",
 "Specialisation" : "","UseNumber" : -1,
 "Description" : "Vous pouvez vous focaliser sur l'énergie psychique de l'une de vos disciplines psioniques pour en tirer des bénéfices. Par une action bonus, vous pouvez choisir une de vos disciplines et en gagner le bonus de focaliseur psychique qui est détaillé dans sa description. Le bonus dure tant que vous n'êtes pas incapable d'agir et que vous n'utilisez pas votre action bonus pour choisir un autre bonus de focaliseur psychique. Vous ne pouvez bénéficier que d'un seul bonus de focaliseur psychique à la fois, et utiliser le focaliseur psychique d'une discipline ne limite pas votre capacité à utiliser d'autres disciplines."
  },
"MYSTICAL-Caractéristique psionique":  {
 "Code" : "Caractéristique psionique",
 "Class" : "MYSTICAL",
 "Specialisation" : "","UseNumber" : -1,
 "Description" : "L'Intelligence est la caractéristique psionique utilisée pour les disciplines psioniques. Vous utilisez votre modificateur d'Intelligence pour calculer le DD des jets de sauvegarde pour vos effets psioniques ou pour les jets d'attaque qu'ils impliquent.  DD de sauvegarde d'une discipline = 8 + votre bonus de maîtrise + votre modificateur d'Intelligence. Modificateur à l'attaque d'une discipline = votre bonus de maîtrise + votre modificateur d'Intelligence."
  },
"MYSTICAL-Ordre mystique":  {
 "Code" : "Ordre mystique",
 "Class" : "MYSTICAL",
 "Specialisation" : "","Stats" : true,
 "Description" : "Au niveau 1, vous choisissez un ordre mystique parmi ceux détaillés à la fin de la description de cette classe. Chaque ordre est spécialisé dans une approche particulière des pouvoirs psioniques. Votre ordre vous donne des capacités quand vous le choisissez au niveau 1, puis d'autres supplémentaires aux niveaux 3, 6 et 14."
  },
"MYSTICAL-Récupération mystique":  {
 "Code" : "Récupération mystique",
 "Class" : "MYSTICAL",
 "Specialisation" : "","UseNumber" : -1,
 "Description" : "À partir du niveau 2, vous tirez une vigueur particulière de l'énergie psi de vos disciplines psioniques. Lorsque vous dépensez des points psi dans une discipline psionique, vous pouvez immédiatement après prendre une action bonus pour regagner un nombre de points de vie égal au nombre de points psi dépensés."
  },
"MYSTICAL-Télépathie":  {
 "Code" : "Télépathie",
 "Class" : "MYSTICAL",
 "Specialisation" : "","UseNumber" : -1,
 "Description" : "Au niveau 2, votre esprit obtient la capacité de communiquer par télépathie. Vous pouvez parler télépathiquement à n'importe quelle créature que vous pouvez voir à 36 mètres ou moins de vous. Vous n'avez pas besoin d'avoir une langue en commune avec la créature pour qu'elle comprenne vos messages télépathiques, mais la créature doit pouvoir comprendre au moins une langue ou être télépathique."
  },
"MYSTICAL-Amélioration de caractéristiques":  {
 "Code" : "Amélioration de caractéristiques",
 "Class" : "MYSTICAL",
 "Specialisation" : "","Stats" : true,
 "Description" : "Au niveau 4, puis par la suite au niveau 8, 12, 16 et 19, vous pouvez augmenter une valeur de caractéristique de votre choix de +2, ou bien augmenter deux valeurs de caractéristique de votre choix de +1. Vous ne pouvez cependant pas augmenter une caractéristique au-delà de 20 par ce biais."
  },
"MYSTICAL-Force de l'esprit":  {
 "Code" : "Force de l'esprit",
 "Class" : "MYSTICAL",
 "Specialisation" : "","UseNumber" : 1,
 "Description" : "Même la plus basique des techniques psioniques requiert une profonde compréhension de la manière dont l'énergie psionique altère le corps et l'esprit. Ce savoir vous permet de modifier vos défenses pour mieux contrer les menaces auxquelles vous êtes confronté. À partir du niveau 4, vous pouvez changer votre maîtrise des jets de sauvegarde de Sagesse chaque fois que vous terminez un repos court ou long. Pour cela, choisissez la Force, la Dextérité, la Constitution ou le Charisme. Vous gagnez la maîtrise des jets de sauvegarde basés sur cette caractéristique à la place de ceux liés à la Sagesse. Ce changement dure jusqu'à ce que vous finissiez un repos court ou long."
  },
"MYSTICAL-Psionique puissant":  {
 "Code" : "Psionique puissant",
 "Class" : "MYSTICAL",
 "Specialisation" : "","UseNumber" : 1,
 "Description" : "Au niveau 8, vous gagnez la capacité d'imprégner vos attaques avec une arme d'énergie psychique. Une fois lors de chacun de vos tours lorsque vous touchez une créature avec une arme, vous pouvez infliger 1d8 de dégâts psychiques supplémentaires à cette cible. Lorsque vous atteignez le niveau 14, les dommages supplémentaires passent à 2d8.  En outre, vous ajoutez votre modificateur d'Intelligence à tous les jets de dégâts qui découlent d'un talent psionique."
  },
"MYSTICAL-Pouvoir dévorant":  {
 "Code" : "Pouvoir dévorant",
 "Class" : "MYSTICAL",
 "Specialisation" : "","UseNumber" : 1,
 "Description" : "Au niveau 10, vous gagnez la faculté de sacrifier votre force vitale en échange de pouvoirs psychiques. Lorsque vous activez une discipline psionique, vous pouvez payer le coût en points psi avec vos points de vie, au lieu d'utiliser des points psi. Vos points de vie actuels et vos points de vie maximums sont tous les deux réduits du nombre de points de vie que vous dépensez. Cette réduction ne peut être éliminée d'aucune façon, et la réduction de vos points de vie maximums dure jusqu'à ce que vous terminiez un repos long. Une fois que vous avez utilisé cette capacité, vous ne pouvez plus l'utiliser à nouveau jusqu'à ce que vous ayez terminé un repos long."
  },
"MYSTICAL-Maîtrise psionique":  {
 "Code" : "Maîtrise psionique",
 "Class" : "MYSTICAL",
 "Specialisation" : "","UseNumber" : 1,
 "Description" : "À partir du niveau 11, votre maîtrise de l'énergie psionique vous permet de pousser votre esprit au-delà de ses limites. Par une action, vous gagnez 9 points psi spéciaux que vous ne pouvez consacrer qu'aux disciplines qui nécessitent une action ou une action bonus. Vous pouvez utiliser la totalité des 9 points pour une seule discipline, ou les répartir dans plusieurs disciplines. Vous ne pouvez pas dépenser en même temps ces points psi et vos points psi normaux sur la même discipline ; vous ne pouvez dépenser que les points spéciaux obtenus grâce à cette capacité. Lorsque vous terminez un repos long, vous perdez tous les points spéciaux que vous n'avez pas dépensés.  Si plus d'une des disciplines que vous activez avec ces points nécessitent une concentration, vous pouvez vous concentrer sur chacune d'elles. L'activation de l'une d'entre elles met fin à tout effet sur lequel vous étiez déjà concentré, et si vous commencez à vous concentrer sur un effet qui n'utilise pas ces points spéciaux, les disciplines sur lesquelles vous étiez concentré se terminent.  Au niveau 15, le nombre de points psi que vous gagnez avec cette capacité passe à 11. Vous ne pouvez utiliser cette capacité qu'une seule fois, et vous retrouvez son utilisation après un repos long. Vous gagnez une utilisation supplémentaire de cette capacité aux niveaux 13, 15 et 17."
  },
"MYSTICAL-Corps psionique":  {
 "Code" : "Corps psionique",
 "Class" : "MYSTICAL",
 "Specialisation" : "","UseNumber" : -1,
 "Description" : "Au niveau 20, votre maîtrise des pouvoirs psioniques fait que votre esprit transcende le corps. Votre forme physique est imprégnée d'énergie psionique. Vous obtenez les avantages suivants :  Vous gagnez la résistance contre les dégâts contondants, perforants et tranchants. Vous ne vieillissez plus. Vous êtes immunisé contre la maladie, les dégâts de type poison et la condition empoisonné. Si vous mourez, lancez un d20. Pour un résultat de 10 ou plus, vous vous dématérialisez avec 0 point de vie, au lieu de mourir, et tombez inconscient. Vous disparaissez avec tout votre équipement avant de réapparaître 1d3 jours plus tard à un endroit de votre choix sur le plan d'existence où vous êtes mort, en ayant gagné les avantages d'un repos long."
  },
"AVATAR_ORDER-Disciplines supplémentaires":  {
 "Code" : "Disciplines supplémentaires",
 "Class" : "MYSTICAL",
 "Specialisation" : "AVATAR_ORDER","Stats" : true,
 "Description" : "Au niveau 1, vous gagnez deux disciplines psioniques supplémentaires à choisir parmi les disciplines des Avatars."
  },
"AVATAR_ORDER-Entrainement aux armures":  {
 "Code" : "Entrainement aux armures",
 "Class" : "MYSTICAL",
 "Specialisation" : "AVATAR_ORDER","Stats" : true,
 "Description" : "Au niveau 1, vous gagnez la maîtrise des armures intermédiaires et des boucliers."
  },
"AVATAR_ORDER-Avatar de bataille":  {
 "Code" : "Avatar de bataille",
 "Class" : "MYSTICAL",
 "Specialisation" : "AVATAR_ORDER","UseNumber" : -1,
 "Description" : "À partir du niveau 3, vous projetez une aura inspirante. Si vous n'êtes pas incapable d'agir, chaque allié à 9 mètres ou moins de vous qui peut vous voir gagne un bonus de +2 aux jets d'initiatives."
  },
"AVATAR_ORDER-Avatar de soins":  {
 "Code" : "Avatar de soins",
 "Class" : "MYSTICAL",
 "Specialisation" : "AVATAR_ORDER","UseNumber" : -1,
 "Description" : "À partir du niveau 6, vous projetez une aura de résilience. Si vous n'êtes pas incapable d'agir, chaque allié à 9 mètres ou moins de vous qui peut vous voir regagne un nombre de points de vie additionnels égal à votre modificateur d'Intelligence (minimum 0) chaque fois qu'ils récupèrent des points de vie grâce à une discipline psionique."
  },
"AVATAR_ORDER-Avatar de vitesse":  {
 "Code" : "Avatar de vitesse",
 "Class" : "MYSTICAL",
 "Specialisation" : "AVATAR_ORDER","UseNumber" : -1,
 "Description" : "À partir du niveau 14, vous projetez une aura de vitesse. Si vous n'êtes pas incapable d'agir, chaque allié à 9 mètres ou moins de vous qui peut vous voir peut prendre l'action Foncer en tant qu'action bonus."
  },
"AWAKENED_ORDER-Disciplines supplémentaires":  {
 "Code" : "Disciplines supplémentaires",
 "Class" : "MYSTICAL",
 "Specialisation" : "AWAKENED_ORDER","Stats" : true,
 "Description" : "Au niveau 1, vous gagnez deux disciplines psioniques supplémentaires à choisir parmi les disciplines des Éveillés."
  },
"AWAKENED_ORDER-Talent des éveillés":  {
 "Code" : "Talent des éveillés",
 "Class" : "MYSTICAL",
 "Specialisation" : "AWAKENED_ORDER","Stats" : true,
 "Description" : "Au niveau 1, vous gagnez la maîtrise de deux compétences supplémentaires de votre choix parmi Dressage, Tromperie, Perspicacité, Intimidation, Investigation, Perception et Persuasion."
  },
"AWAKENED_ORDER-Investigation psionique":  {
 "Code" : "Investigation psionique",
 "Class" : "MYSTICAL",
 "Specialisation" : "AWAKENED_ORDER","UseNumber" : 1,
 "Description" : "Au niveau 3, vous pouvez concentrer votre esprit pour lire l'empreinte psionique laissée sur un objet. Si vous tenez un objet et que vous vous concentrez sur celui-ci pendant 10 minutes (comme si vous vous concentriez sur une discipline psionique), vous apprenez quelques faits simples à son sujet. Vous obtenez une image mentale du point de vue de l'objet, montrant la dernière créature qui l'a tenu durant les dernières 24 heures. Vous apprenez également tous les événements qui ont eu lieu dans un rayon de 6 mètres autour de l'objet durant la dernière heure. Vous percevez ces événements du point de vue de l'objet. Vous les voyez et les entendez comme si vous y étiez, mais ne pouvez pas utiliser d'autres sens. De plus, vous pouvez dissimuler un senseur psionique intangible dans l'objet. Pour les prochaines 24 heures, vous pouvez utiliser une action pour déterminer l'emplacement de l'objet par rapport à vous (distance et direction) et regarder l'environnement de l'objet de son point de vue comme si vous y étiez. Cette perception dure jusqu'au début de votre prochain tour. Une fois que vous avez utilisé cette capacité, vous ne pouvez plus l'utiliser de nouveau jusqu'à ce que vous finissiez un repos court ou long."
  },
"AWAKENED_ORDER-Déferlement psychique":  {
 "Code" : "Déferlement psychique",
 "Class" : "MYSTICAL",
 "Specialisation" : "AWAKENED_ORDER","UseNumber" : 1,
 "Description" : "À partir du niveau 6, vous pouvez surcharger votre concentration psychique pour abattre les défenses de vos adversaires. Vous pouvez imposer un désavantage à un jet de sauvegarde de votre cible contre un talent ou une discipline que vous utilisez au prix de votre concentration psychique. Votre concentration psychique se termine immédiatement si elle était active et vous ne pouvez plus l'utiliser à nouveau avant d'avoir terminé un repos court ou long. Vous ne pouvez pas utiliser cette capacité si vous ne pouvez pas utiliser votre concentration psychique."
  },
"AWAKENED_ORDER-Forme spectrale":  {
 "Code" : "Forme spectrale",
 "Class" : "MYSTICAL",
 "Specialisation" : "AWAKENED_ORDER","UseNumber" : 1,
 "Description" : "Au niveau 14, vous gagnez la capacité de vous transformer en un être fantomatique fait d'énergie psionique. Par une action, vous pouvez vous transformer en une version transparente et fantomatique de vous-même. Sous cette forme, vous obtenez la résistance à tous les dommages, vous vous déplacez à la moitié de votre vitesse, et pouvez passer à travers les objets et les créatures, sans toutefois pouvoir mettre fin volontairement à votre mouvement dans leur espace. La forme dure 10 minutes ou jusqu'à ce que vous utilisiez une action pour y mettre fin. Une fois que vous avez utilisé cette capacité, vous ne pouvez plus l'utiliser à nouveau jusqu'à ce que vous ayez terminé un repos long."
  },
"IMMORTALS_ORDER-Disciplines supplémentaires":  {
 "Code" : "Disciplines supplémentaires",
 "Class" : "MYSTICAL",
 "Specialisation" : "IMMORTALS_ORDER","Stats" : true,
 "Description" : "Au niveau 1, vous gagnez deux disciplines psioniques supplémentaires à choisir parmi les disciplines des Immortels."
  },
"IMMORTALS_ORDER-Résistance de l'Immortel":  {
 "Code" : "Résistance de l'Immortel",
 "Class" : "MYSTICAL",
 "Specialisation" : "IMMORTALS_ORDER","Stats" : true,
 "Description" : "À partir du niveau 1, votre nombre de points de vie maximums augmente de 1 par niveau de mystique. De plus, lorsque vous ne portez ni armure ni bouclier, votre CA de base devient 10 + votre modificateur de Dextérité + votre modificateur de Constitution."
  },
"IMMORTALS_ORDER-Résilience psionique":  {
 "Code" : "Résilience psionique",
 "Class" : "MYSTICAL",
 "Specialisation" : "IMMORTALS_ORDER","UseNumber" : -1,
 "Description" : "À partir du niveau 3, votre énergie psionique vous octroie une résistance extraordinaire. Au début de chacun de vos tours, vous gagnez un nombre de points de vie temporaires égal à votre modificateur d'Intelligence (minimum 0) si vous avez au moins 1 point de vie."
  },
"IMMORTALS_ORDER-Afflux de vie":  {
 "Code" : "Afflux de vie",
 "Class" : "MYSTICAL",
 "Specialisation" : "IMMORTALS_ORDER","UseNumber" : -1,
 "Description" : "À partir du niveau 6, vous pouvez puisez dans votre concentration psychique pour éviter la mort. Par une réaction, si vous subissez des dégâts, vous pouvez les diminuer de moitié. Votre concentration psychique se termine immédiatement si elle était active et vous ne pouvez plus l'utiliser à nouveau avant d'avoir terminé un repos court ou long. Vous ne pouvez pas utiliser cette capacité si vous ne pouvez pas utiliser votre concentration psychique."
  },
"IMMORTALS_ORDER-Volonté de l'Immortel":  {
 "Code" : "Volonté de l'Immortel",
 "Class" : "MYSTICAL",
 "Specialisation" : "IMMORTALS_ORDER","Special" : true,
 "Description" : "À partir du niveau 14, vous pouvez puiser dans vos réserves de pouvoir psionique afin d'échapper à l'emprise de la mort. À la fin de votre tour, si vous avez 0 point de vie, vous pouvez dépenser 5 points psi pour récupérer instantanément un nombre de points de vie égal à votre niveau mystique + votre modificateur de Constitution."
  },
"NOMAD_ORDER-Disciplines supplémentaires":  {
 "Code" : "Disciplines supplémentaires",
 "Class" : "MYSTICAL",
 "Specialisation" : "NOMAD_ORDER","Stats" : true,
 "Description" : "Au niveau 1, vous gagnez deux disciplines psioniques supplémentaires à choisir parmi les disciplines des Nomades."
  },
"NOMAD_ORDER-Grand savoir":  {
 "Code" : "Grand savoir",
 "Class" : "MYSTICAL",
 "Specialisation" : "NOMAD_ORDER","UseNumber" : 1,
 "Description" : "Au niveau 1, vous gagnez le pouvoir d'étendre votre savoir. Lorsque vous terminez un repos long, vous gagnez deux maîtrises de votre choix : deux outils, deux compétences ou une de chaque. Vous pouvez aussi remplacer l’une ou ces deux sélections par des langues. Cet avantage dure jusqu'à ce que vous terminiez un repos long."
  },
"NOMAD_ORDER-Mémoire des mille pas":  {
 "Code" : "Mémoire des mille pas",
 "Class" : "MYSTICAL",
 "Specialisation" : "NOMAD_ORDER","UseNumber" : 1,
 "Description" : "Au niveau 3, vous gagnez le pouvoir d’utiliser la magie psionique pour vous souvenir de votre itinéraire. En tant que réaction, lorsque vous êtes touché par une attaque, vous pouvez vous téléporter dans un espace inoccupé que vous occupiez depuis le début de votre dernier tour et l’attaque en question vous rate. Une fois que vous avez utilisé cette capacité, vous ne pouvez plus l'utiliser de nouveau jusqu'à ce que vous finissiez un repos court ou long."
  },
"NOMAD_ORDER-Téléportation supérieure":  {
 "Code" : "Téléportation supérieure",
 "Class" : "MYSTICAL",
 "Specialisation" : "NOMAD_ORDER","UseNumber" : -1,
 "Description" : "Au niveau 6, vous gagnez un talent supérieur de téléportation. Quand vous utilisez une discipline psionique pour vous téléporter à n’importe quelle distance, vous pouvez augmenter cette distance de 3 mètres ou moins."
  },
"NOMAD_ORDER-Voyage sans effort":  {
 "Code" : "Voyage sans effort",
 "Class" : "MYSTICAL",
 "Specialisation" : "NOMAD_ORDER","UseNumber" : -1,
 "Description" : "À partir du niveau 14, votre esprit peut mouvoir votre corps de façon mystique. À chacun de vos tours, vous pouvez renoncer à 9 mètres ou moins de mouvement afin de vous téléporter sur une distance égale à celle à laquelle vous avez renoncée. Pour ce faire, vous devez vous téléporter dans un espace inoccupé que vous pouvez voir."
  },
"SHARP_SOUL_ORDER-Entrainement martial":  {
 "Code" : "Entrainement martial",
 "Class" : "MYSTICAL",
 "Specialisation" : "SHARP_SOUL_ORDER","Stats" : true,
 "Description" : "Au niveau 1, vous gagnez la maîtrise des armures intermédiaires et des armes de guerre."
  }</v>
      </c>
    </row>
    <row r="450" spans="1:9">
      <c r="A450" s="55"/>
      <c r="B450" s="18"/>
      <c r="I450" t="str">
        <f>CONCATENATE(I326,",
",I327,",
",I328,",
",I329,",
",I330,",
",I331,",
",I332,",
",I333,",
",I334,",
",I335,",
",I336,",
",I337,",
",I338,",
",I339,",
",I340,",
",I341,",
",I342,",
",I343,",
",I344,",
",I345,",
",I346,",
",I347,",
",I348,",
",I349,",
",I350,",
",I351,",
",I352,",
",I353,",
",I354,",
",I355,",
",I356,",
",I357,",
",I358,",
",I359,",
",I360,",
",I361,",
",I362,",
",I363,",
",I364,",
",I365,",
",I366,",
",I367,",
",I368,",
",I369,",
",I370,",
",I371,",
",I372,",
")</f>
        <v xml:space="preserve">"SHARP_SOUL_ORDER-Âme acérée":  {
 "Code" : "Âme acérée",
 "Class" : "MYSTICAL",
 "Specialisation" : "SHARP_SOUL_ORDER","UseNumber" : -1,
 "Description" : "À partir du niveau 1, vous gagnez le pouvoir de déployer une lame d'énergie psychique. En tant qu'action bonus, vous créez de scintillantes lames d'énergie qui émanent de vos deux poings. Pendant que ces lames se manifestent, vous ne pouvez rien tenir dans vos mains. Vous pouvez y mettre un terme à l'aide d'une action bonus. Pour vous, une âme acérée est une arme de corps-à-corps ayant les propriétés légère et finesse. Elle inflige 1d8 dégâts psychiques si elle touche. En utilisant une action bonus, vous pouvez vous préparer à parer ; vous gagnez alors un bonus de +2 à la CA jusqu'à la fin de votre prochain tour ou jusqu'à ce que vous soyez incapable d'agir."
  },
"SHARP_SOUL_ORDER-Lame aiguisée":  {
 "Code" : "Lame aiguisée",
 "Class" : "MYSTICAL",
 "Specialisation" : "SHARP_SOUL_ORDER","Special" : true,
 "Description" : "À partir du niveau 3, vous pouvez utiliser des points psi afin d'augmenter les jets d'attaque et de dégâts de votre âme acérée. Vous obtenez un bonus aux jets d'attaque et de dégâts faits avec votre âme acérée en fonction du nombre de points psi dépensés, comme indiqué dans la table ci-dessous. Ce bonus dure 10 minutes.  Points psi	Bonus à l'attaque et aux dégâts 2			+1 5			+2 7			+4"
  },
"SHARP_SOUL_ORDER-Poignard absorbant":  {
 "Code" : "Poignard absorbant",
 "Class" : "MYSTICAL",
 "Specialisation" : "SHARP_SOUL_ORDER","UseNumber" : -1,
 "Description" : "À partir du niveau 6, lorsque vous tuez une créature ennemie avec une attaque d'âme acérée, vous regagnez immédiatement 2 points psi."
  },
"SHARP_SOUL_ORDER-Poignard fantôme":  {
 "Code" : "Poignard fantôme",
 "Class" : "MYSTICAL",
 "Specialisation" : "SHARP_SOUL_ORDER","UseNumber" : -1,
 "Description" : "À partir du niveau 14, vous pouvez réaliser une attaque qui passera à travers la plupart des défenses. Par une action, vous pouvez faire une attaque avec votre âme acérée. Traitez la CA de la cible comme si elle était de 10, peu importe la véritable CA de la créature ciblée."
  },
"WU_JEN_ORDER-Disciplines supplémentaires":  {
 "Code" : "Disciplines supplémentaires",
 "Class" : "MYSTICAL",
 "Specialisation" : "WU_JEN_ORDER","Stats" : true,
 "Description" : "Au niveau 1, vous gagnez deux disciplines psioniques supplémentaires à choisir parmi les disciplines des Wu Jen."
  },
"WU_JEN_ORDER-Observation de l'ermite":  {
 "Code" : "Observation de l'ermite",
 "Class" : "MYSTICAL",
 "Specialisation" : "WU_JEN_ORDER","Stats" : true,
 "Description" : "Au niveau 1, vous gagnez la maîtrise de deux compétences de votre choix parmi : Dressage, Arcanes, Histoire, Perspicacité, Médecine, Nature, Perception, Religion ou Survie."
  },
"WU_JEN_ORDER-Lien élémentaire":  {
 "Code" : "Lien élémentaire",
 "Class" : "MYSTICAL",
 "Specialisation" : "WU_JEN_ORDER","Special" : true,
 "Description" : "À partir du niveau 3, lorsque la résistance d'une créature réduit les dégâts infligés par une de vos disciplines psioniques, vous pouvez utiliser un point psi pour que cette utilisation de la discipline permette d'ignorer la résistance de la créature. Vous ne pouvez utiliser ce point si cela augmenterait le coût de la discipline concernée au-dessus de votre limite de psi."
  },
"WU_JEN_ORDER-Arcaniste amateur":  {
 "Code" : "Arcaniste amateur",
 "Class" : "MYSTICAL",
 "Specialisation" : "WU_JEN_ORDER",
 "Description" : "Au niveau 6, vous apprenez trois sorts de magicien de votre choix et les avez toujours préparés. Ces sorts doivent être des sorts de niveau 1, 2 ou 3. En utilisant une action bonus, vous pouvez utiliser des points psi afin de créer des emplacements de sorts que vous pouvez utiliser pour lancer ces sorts, aussi que d'autres sorts que vous êtes capables de lancer. Le coût en points psi de chacun des sorts est détaillé dans la table ci-dessous.  Niveau d'emplacement de sort	Points psi 1								2 2								3 3								5 4								6 5								7 Les emplacements de sorts demeurent jusqu'à ce que vous les utilisiez ou que vous terminiez un repos long. Vous devez vous contraindre à votre limite de psi lorsque vous utilisez des points psi pour créer un emplacement de sort. De plus, lorsque vous gagnez un niveau dans cette classe, vous pouvez remplacer un de vos sorts de magicien choisis par un sort de magicien différent de niveau 1, 2 ou 3."
  },
"WU_JEN_ORDER-Maîtrise des éléments":  {
 "Code" : "Maîtrise des éléments",
 "Class" : "MYSTICAL",
 "Specialisation" : "WU_JEN_ORDER","Special" : true,
 "Description" : "À partir du niveau 14, si vous êtes résistant à un type de dommage, vous pouvez utiliser 2 points psi en réaction lorsque vous subissez des dégâts de ce type afin de les ignorer complètement ; vous gagnez ainsi l'immunité à ce type de dégât jusqu'à la fin de votre prochain tour."
  },
"PALADIN-Sens divin":  {
 "Code" : "Sens divin",
 "Class" : "PALADIN",
 "Specialisation" : "","UseNumber" : -1,
 "Description" : "Une forte présence maléfique éveille vos sens, comme une odeur nocive, et un bien puissant fait résonner dans vos oreilles une musique céleste. Par une action, vous pouvez éveiller votre conscience pour détecter de telles forces. Jusqu'à la fin de votre prochain tour, vous connaissez l'emplacement de toute créature céleste, fiélon ou mort-vivante dans un rayon de 18 mètres autour de vous, et qui ne se trouve pas derrière un abri total. Vous connaissez le type (céleste, fiélon ou mort-vivant) et le nombre de tous les êtres dont vous sentez la présence, mais pas leur identité (le vampire comte Strahd von Zarovich, par exemple). Dans ce même rayon, vous détectez également la présence d'un lieu ou d'un objet qui a été consacré ou profané, comme avec le sort sanctification.  Vous pouvez utiliser cette capacité un nombre de fois égal à 1 + votre modificateur de Charisme. Lorsque vous terminez un repos long, vous récupérez toutes les utilisations dépensées."
  },
"PALADIN-Style de combat":  {
 "Code" : "Style de combat",
 "Class" : "PALADIN",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
"PALADIN-Imposition des mains":  {
 "Code" : "Imposition des mains",
 "Class" : "PALADIN",
 "Specialisation" : "","UseNumber" : -1,
 "Description" : "Votre toucher béni peut guérir les blessures. Vous possédez une réserve de points de vie à soigner qui se récupère après chaque repos long. Avec cette réserve, vous pouvez restaurer un nombre total de points de vie égal à votre niveau de paladin multiplié par 5. Au prix d'une action, vous pouvez toucher une créature et puiser dans votre réserve pour soigner autant de points de vie que vous le désirez, sans dépasser le nombre de points dans votre réserve bien entendu.  Vous pouvez également dépenser 5 points de vie de votre réserve pour guérir la cible d'une maladie ou neutraliser un poison qui l'affecte. Vous pouvez soigner plusieurs maladies et neutraliser plusieurs poisons avec une seule imposition des mains en dépensant les points de vie séparément pour chacun d'entre eux. L'imposition des mains n'a aucun effet sur les morts-vivants ou les créatures artificielles."
  },
"PALADIN-Châtiment divin":  {
 "Code" : "Châtiment divin",
 "Class" : "PALADIN",
 "Specialisation" : "","UseNumber" : -1,
 "Description" : "À partir du niveau 2, quand vous touchez une créature avec une arme de corps à corps, vous pouvez utiliser n'importe quel emplacement de sort (de paladin ou autre) pour châtier cette créature et lui infliger des dégâts radiants supplémentaires. Les dégâts supplémentaires infligés sont de 2d8 pour un emplacement de sort de niveau 1, plus 1d8 supplémentaire pour chaque niveau de sort supérieur à 1, jusqu'à un maximum de 5d8. Si la créature est un mort-vivant ou un fiélon, les dégâts augmentent de 1d8, jusqu'à un maximum de 6d8."
  },
"PALADIN-Santé divine":  {
 "Code" : "Santé divine",
 "Class" : "PALADIN",
 "Specialisation" : "","Stats" : true,
 "Description" : "À partir du niveau 3, la magie divine qui coule en vous vous immunise contre les maladies."
  },
"PALADIN-Serment sacré":  {
 "Code" : "Serment sacré",
 "Class" : "PALADIN",
 "Specialisation" : "","UseNumber" : -1,
 "Description" : "Au niveau 3, vous prêtez un serment qui vous lie en tant que paladin pour l'éternité. Jusque-là, vous étiez dans une phase préparatoire, engagé dans la voie, mais sans avoir encore prêté serment. Maintenant, vous devez choisir entre le serment de dévotion, le serment des Anciens ou le serment de vengeance, qui sont tous détaillés à la fin de la description de la classe. Votre choix vous accorde des capacités au niveau 3, puis aux niveaux 7, 15 et 20. Ces capacités comprennent des sorts de serment et la capacité de Canalisation d'énergie divine."
  },
"PALADIN-Sorts de serment":  {
 "Code" : "Sorts de serment",
 "Class" : "PALADIN",
 "Specialisation" : "","UseNumber" : -1,
 "Description" : "Chaque serment est associé à une liste de sorts qui lui est propre. Vous accèderez à ces sorts au niveau spécifié dans la description du serment. Une fois que vous avez accès à un sort de serment, celui-ci sera toujours considéré comme préparé mais ne compte pas dans le nombre de sorts que vous préparez chaque jour. Si vous gagnez un sort de serment qui n'est pas dans la liste des sorts de paladin, ce sort sera tout de même considéré comme étant un sort de paladin pour vous."
  },
"PALADIN-Canalisation d'énergie divine":  {
 "Code" : "Canalisation d'énergie divine",
 "Class" : "PALADIN",
 "Specialisation" : "","UseNumber" : -1,
 "Description" : "Votre serment vous permet de canaliser de l'énergie divine qui alimente des effets magiques. Chaque Canalisation d'énergie divine proposée par votre serment en détaille les options d'utilisation. Quand vous utilisez votre Canalisation d'énergie divine, vous choisissez quelle option vous voulez utiliser. Un repos court ou long est nécessaire pour pouvoir utiliser une Canalisation d'énergie divine de nouveau. Certains effets de Canalisation d'énergie divine nécessitent des jets de sauvegarde. Quand vous utilisez ce type d'effet, le DD est égal au DD pour résister à vos sorts."
  },
"PALADIN-Amélioration de caractéristiques":  {
 "Code" : "Amélioration de caractéristiques",
 "Class" : "PALADIN",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"PALADIN-Attaque supplémentaire":  {
 "Code" : "Attaque supplémentaire",
 "Class" : "PALADIN",
 "Specialisation" : "","UseNumber" : -1,
 "Description" : "À partir du niveau 5, vous pouvez attaquer deux fois, au lieu d'une seule, chaque fois que vous réalisez l'action Attaquer durant votre tour."
  },
"PALADIN-Aura de protection":  {
 "Code" : "Aura de protection",
 "Class" : "PALADIN",
 "Specialisation" : "","UseNumber" : -1,
 "Description" : "À partir du niveau 6, si vous ou une créature alliée située à 3 mètres ou moins de vous doit effectuer un jet de sauvegarde, la créature gagne un bonus égal à votre modificateur de Charisme (minimum +1). Vous devez être conscient pour accorder ce bonus. Au niveau 18, le rayon de l'aura passe à 9 mètres."
  },
"PALADIN-Aura de courage":  {
 "Code" : "Aura de courage",
 "Class" : "PALADIN",
 "Specialisation" : "","UseNumber" : -1,
 "Description" : "À partir du niveau 10, vous et toutes créatures amicales situées à 3 mètres ou moins de vous ne pouvez être effrayés tant que vous êtes conscient. Au niveau 18, le rayon de l'aura passe à 9 mètres."
  },
"PALADIN-Châtiment divin amélioré":  {
 "Code" : "Châtiment divin amélioré",
 "Class" : "PALADIN",
 "Specialisation" : "","UseNumber" : -1,
 "Description" : "Au niveau 11, vous êtes tellement imprégné de vertus que toutes vos armes de corps à corps portent la puissance divine en elles. Lorsque vous touchez avec une arme de corps à corps, la créature cible subit 1d8 dégâts radiants supplémentaires. "
  },
"PALADIN-Contact purifiant":  {
 "Code" : "Contact purifiant",
 "Class" : "PALADIN",
 "Specialisation" : "","UseNumber" : -1,
 "Description" : "À partir du niveau 14, vous pouvez utiliser votre action pour mettre fin à un sort sur vous ou une créature consentante que vous touchez. Vous pouvez utiliser cette capacité un nombre de fois égal à votre modificateur de Charisme (minimum 1) entre deux repos long."
  },
"DEVOTION-Principes de Dévotion":  {
 "Code" : "Principes de Dévotion",
 "Class" : "PALADIN",
 "Specialisation" : "DEVOTION","UseNumber" : -1,
 "Description" : "Bien que les mots exacts et les restrictions imposées par le serment de dévotion varient, les paladins de ce serment partagent ces préceptes.  Honnêteté. Ne ment pas et ne triche pas. Que ta parole soit ta promesse. Courage. N'aies jamais peur d'agir, même si la prudence est sage. Compassion. Aide les autres, protège les faibles et punit ceux qui les menacent. Fais preuve de miséricorde envers tes ennemis, tempérée avec sagesse. Honneur. Traite les autres avec équité et fais de tes actes honorables un exemple pour eux. Fais le bien autant que possible, sans causer de préjudice. Devoir. Soit responsable de tes actes et de leurs conséquences ; protège ceux qui te sont confiés et obéis à ceux qui ont une autorité sur toi."
  },
"DEVOTION-Sorts de serment":  {
 "Code" : "Sorts de serment",
 "Class" : "PALADIN",
 "Specialisation" : "DEVOTION","UseNumber" : -1,
 "Description" : "Vous gagnez des sorts de serment aux niveaux de paladin indiqués.  Niveau de paladin	 Sorts 3	                 protection contre le mal et le bien, sanctuaire 5	                 restauration partielle, zone de vérité 9	                 dissipation de la magie, lueur d'espoir 13	                 gardien de la foi, liberté de mouvement 17	                 colonne de flamme, communion"
  },
"DEVOTION-Canalisation d'énergie divine":  {
 "Code" : "Canalisation d'énergie divine",
 "Class" : "PALADIN",
 "Specialisation" : "DEVOTION","UseNumber" : -1,
 "Description" : "Quand vous prêtez votre serment au niveau 3, vous gagnez les deux options suivantes de Canalisation d'énergie divine.  Arme sacrée. Au prix d'une action, vous pouvez imprégner l'arme que vous tenez avec d'énergie positive, utilisant votre Canalisation d'énergie divine. Durant 1 minute, vous ajoutez votre modificateur de Charisme à vos jets d'attaque faits avec cette arme (minimum +1) et l'arme émet une lumière vive dans un rayon de 6 mètres et une lumière faible sur 6 mètres supplémentaires. Si l'arme n'est pas déjà magique, elle le devient pendant la durée du sort. Vous pouvez arrêter cet effet lors de votre tour dans le cadre d'une autre action. Si vous ne tenez plus ou ne portez plus cette arme, ou si vous êtes inconscient, l'effet prend fin.  Renvoi des impies. Au prix d'une action, vous présentez votre symbole sacré en psalmodiant une prière contre les morts-vivants ou les fiélons, utilisant votre Canalisation d'énergie divine. Chaque mort-vivant ou fiélon à 9 mètres autour de vous qui peuvent vous entendre ou vous voir, doivent faire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
"DEVOTION-Aura de dévotion":  {
 "Code" : "Aura de dévotion",
 "Class" : "PALADIN",
 "Specialisation" : "DEVOTION","UseNumber" : -1,
 "Description" : "À partir du niveau 7, vous et toutes créatures amicales à 3 mètres ou moins de vous ne peuvent être charmées tant que vous êtes conscient. Au niveau 18, le rayon de l'aura passe à 9 mètres."
  },
"DEVOTION-Pureté de l'esprit":  {
 "Code" : "Pureté de l'esprit",
 "Class" : "PALADIN",
 "Specialisation" : "DEVOTION","UseNumber" : -1,
 "Description" : "À partir du niveau 15, vous êtes en permanence sous l'effet d'un sort de protection contre le mal et le bien."
  },
"DEVOTION-Halo sacré":  {
 "Code" : "Halo sacré",
 "Class" : "PALADIN",
 "Specialisation" : "DEVOTION","UseNumber" : -1,
 "Description" : "Au niveau 20, au prix d'une action, vous pouvez diffuser une lumière brillante semblable à celle du soleil. Pendant 1 minute, une lumière vive s'échappe de vous sur un rayon de 9 mètres, et une lumière faible sur 9 mètres supplémentaires.  Quand une créature ennemie commence son tour dans la zone de lumière vive, elle subit 10 points de dégâts radiants. De plus, pendant cette durée, vous avez un avantage à vos jets de sauvegarde contre les sorts que les fiélons ou les morts-vivants jettent. Une fois cette capacité utilisée, vous devez terminer un repos long pour pouvoir l'utiliser de nouveau."
  },
"OLD-Principes des Anciens":  {
 "Code" : "Principes des Anciens",
 "Class" : "PALADIN",
 "Specialisation" : "OLD","UseNumber" : -1,
 "Description" : "Les préceptes du serment des Anciens ont été préservés pendant des siècles innombrables. Ce serment met l'accent sur les principes du bien au-dessus des questions de loi ou de chaos. Ses quatre principes centraux sont simples.  Ravive la lumière. Par tes actes de miséricorde, de bonté et de pardon, ravive une lumière d'espoir dans le monde et repousse le désespoir. Protège la lumière. Là où dans le monde il y a le bien, de la beauté, de l'amour et du rire, lève toi contre la perversité qui veut l'emporter. Là où la vie fleurit, lève toi contre les forces qui veulent la rendre stérile. Préserve ta propre lumière. Jouis des chansons et des rires, de la beauté et de l'art. Si tu permets que la lumière meurt dans ton propre cœur, tu ne pourras pas la sauver dans le monde. Devient lumière. Sois un phare glorieux pour tous ceux qui vivent dans le désespoir. Que la lumière de ta joie et de ton courage brille dans tous tes actes."
  },
"OLD-Sorts de serment":  {
 "Code" : "Sorts de serment",
 "Class" : "PALADIN",
 "Specialisation" : "OLD","UseNumber" : -1,
 "Description" : "Vous gagnez des sorts de serment aux niveaux de paladin indiqués.  Niveau de paladin	Sorts 3	                communication avec les animaux, frappe piégeante 5	                pas brumeux, rayon de lune 9	                croissance végétale, protection contre une énergie 13	                peau de pierre, tempête de grêle 17	                communion avec la nature, passage par les arbres"
  },
"OLD-Canalisation d'énergie divine":  {
 "Code" : "Canalisation d'énergie divine",
 "Class" : "PALADIN",
 "Specialisation" : "OLD","UseNumber" : -1,
 "Description" : "Quand vous prêtez votre serment au niveau 3, vous gagnez les deux options suivantes de Canalisation d'énergie divine.  Colère de la nature. Vous pouvez utiliser votre Canalisation d'énergie divine pour invoquer les forces primaires afin de piéger un ennemi. Au prix d'une action, vous faites surgir des vignes spectrales qui entravent une créature à 3 mètres ou moins de vous et que vous pouvez voir. La créature doit réussir un jet de sauvegarde de Force ou de Dextérité (son choix) ou être Entravée. Bien que retenue par les vignes, la créature répète son jet de sauvegarde à la fin de chacun de ses tours. En cas de réussite, elle se libère et les vignes disparaissent.  Renvoi des infidèles. Vous pouvez utiliser votre Canalisation d'énergie divine pour prononcer des mots anciens qui sont douloureux d'entendre pour les créatures féériques et les fiélons. Au prix d'une action, vous présentez votre symbole sacré et chaque fée ou fiélon à 9 mètres ou moins qui peut vous entendre doit faire un jet de sauvegarde de Sagesse. Sur un échec,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Si la vraie forme de la créature est cachée par une illusion, un changement de forme, ou un autre effet, cette forme se révèle alors qu'elle est renvoyée."
  },
"OLD-Aura de résistance":  {
 "Code" : "Aura de résistance",
 "Class" : "PALADIN",
 "Specialisation" : "OLD","UseNumber" : -1,
 "Description" : "À partir du niveau 7, la magie ancienne est si lourdement sur vous qu'elle forme une protection. Vous et vos alliés dans un rayon de 3 mètres autour de vous gagnez la résistance aux dégâts causés par les sorts. Au niveau 18, le rayon de l'aura passe à 9 mètres."
  },
"OLD-Sentinelle immortelle":  {
 "Code" : "Sentinelle immortelle",
 "Class" : "PALADIN",
 "Specialisation" : "OLD","UseNumber" : -1,
 "Description" : "À partir du niveau 15, lorsque vous êtes réduit à 0 point de vie et que vous n'êtes pas tué sur le coup, vous pouvez choisir de passer à 1 point de vie. Une fois cette capacité utilisée, vous devez terminer un repos long pour pouvoir l'utiliser de nouveau. De plus, vous ne souffrez d'aucun inconvénient dû à la vieillesse, et ne pouvez pas vieillir magiquement."
  },
"OLD-Champion des Anciens":  {
 "Code" : "Champion des Anciens",
 "Class" : "PALADIN",
 "Specialisation" : "OLD","UseNumber" : -1,
 "Description" : "Au niveau 20, vous pouvez prendre la forme d'une ancienne force de la nature, revêtant l'aspect que vous souhaitez. Par exemple, votre peau peut devenir verte ou prendre une texture semblable à l'écorce, vos cheveux pourrait devenir feuillu ou semblable à de la mousse, ou vous pourriez avoir des bois qui poussent ou une crinière de lion. Au prix d'une action, vous subissez une transformation. Pendant 1 minute, vous obtenez les avantages suivants :  Au début de chacun de vos tours, vous regagnez 10 points de vie. Chaque fois que vous lancez un sort de paladin qui possède un temps d'incantation de 1 action, vous pouvez lancer le sort en action bonus à la place. Les créatures ennemies dans un rayon de 3 mètres autour de vous ont un désavantage aux jets de sauvegarde contre vos sorts de paladin et vos options de Canalisation d'énergie divine. Une fois cette capacité utilisée, vous devez terminer un repos long pour pouvoir l'utiliser de nouveau."
  },
"REVENGE-Principes de Vengeance":  {
 "Code" : "Principes de Vengeance",
 "Class" : "PALADIN",
 "Specialisation" : "REVENGE","UseNumber" : -1,
 "Description" : "Chaque serment de vengeance est différent, mais tous ont en commun de punir les fautifs à tout prix et par tous les moyens nécessaires. Toutefois, bien que les serments soient presque toujours fait pour punir les méchants, les paladins qui font le serment de vengeance sont eux-mêmes généralement d'alignement neutre ou loyal neutre. Les principes fondamentaux des principes sont brutalement simples.  Combats le plus grand Mal. Face au choix de combattre mes ennemis jurés ou de lutter contre un mal mineur, je choisis le plus grand mal. Pas de pitié pour les mauvais. Des adversaires ordinaires peuvent gagner ma miséricorde, mais pas mes ennemis jurés. Tous les moyens sont bons. Mes états d'âme ne doivent pas intervenir dans mon intention d'exterminer mes ennemis. Compensation. Si mes ennemis causent la ruine dans le monde, c'est parce que je n'ai pas réussi à les arrêter. Je dois aider ceux qui ont souffert de leurs méfaits.  Sorts de serment Vous gagnez des sorts de serment aux niveaux de paladin indiqués.  Niveau de paladin	Sorts 3	                fléau, marque du chasseur 5	                immobilisation de personne, pas brumeux 9	                hâte, protection contre une énergie 13	                bannissement, porte dimensionnelle 17	                immobilisation de monstre, scrutation"
  },
"REVENGE-Canalisation d'énergie divine":  {
 "Code" : "Canalisation d'énergie divine",
 "Class" : "PALADIN",
 "Specialisation" : "REVENGE","UseNumber" : -1,
 "Description" : "Quand vous prêtez votre serment au niveau 3, vous gagnez les deux options suivantes de Canalisation d'énergie divine.  Conspuer l'ennemi. Au prix d'une action, vous présentez votre symbole sacré tout en psalmodiant une prière de dénonciation, utilisant votre Canalisation d'énergie divine. Choisissez une créature à 9 mètres ou moins de vous et que vous pouvez voir. Cette créature doit faire un jet de sauvegarde de Sagesse, à moins qu'elle ne soit immunisée contre la condition effrayé. Un fiélon ou un mort-vivant a un désavantage à son jet de sauvegarde. Si la créature rate son jet de sauvegarde, elle est effrayée pendant 1 minute ou jusqu'à ce qu'elle prenne des dégâts. La vitesse de déplacement d'une créature effrayée est de 0 et elle ne peut profiter d'aucun bonus de vitesse. Si la créature réussit son jet de sauvegarde, sa vitesse est divisée par deux pendant 1 minute ou jusqu'à ce qu'elle prenne des dégâts.  Vœu d'inimité. Au prix d'une action bonus, vous pouvez prononcer un vœu d'inimitié contre une créature à 3 mètres ou moins de vous en utilisant votre Canalisation d'énergie divine. Vous bénéficiez alors d'un avantage aux jets d'attaque contre cette créature pendant 1 minute ou jusqu'à ce qu'elle tombe à 0 point de vie ou qu'elle tombe inconsciente."
  },
"REVENGE-Vengeur implacable":  {
 "Code" : "Vengeur implacable",
 "Class" : "PALADIN",
 "Specialisation" : "REVENGE","UseNumber" : -1,
 "Description" : "À partir du niveau 7, votre concentration surnaturelle vous permet de contrer la retraite d'un adversaire. Lorsque vous touchez une créature lors d'une attaque d'opportunité, vous pouvez vous déplacer de la moitié de votre vitesse de déplacement dès l'attaque terminée et dans cette même réaction. Ce déplacement ne provoque pas d'attaque d'opportunité."
  },
"REVENGE-Âme vengeresse":  {
 "Code" : "Âme vengeresse",
 "Class" : "PALADIN",
 "Specialisation" : "REVENGE","UseNumber" : -1,
 "Description" : "À partir du niveau 15, l'autorité avec laquelle vous prononcez votre vœu d'inimitié vous donne plus de puissance contre votre adversaire. Quand la créature sous l'effet de votre vœu d'inimitié réalise une attaque, vous pouvez utiliser une réaction pour faire une attaque contre cette créature si elle est à portée."
  },
"REVENGE-Ange de la vengeance":  {
 "Code" : "Ange de la vengeance",
 "Class" : "PALADIN",
 "Specialisation" : "REVENGE","UseNumber" : -1,
 "Description" : "Au niveau 20, vous pouvez vous transformer en ange de la vengeance. En utilisant une action, vous subissez une transformation qui dure 1 heure. Pendant cette durée, vous gagnez les avantages suivants :  Des ailes poussent dans votre dos et vous confère une vitesse de vol de 18 mètres. Vous émettez une aura de menace de 9 mètres de rayon. La première fois qu'une créature rentre dans votre aura ou si elle y commence son tour pendant une bataille, la créature doit réussir un jet de sauvegarde de Sagesse ou être effrayée pendant 1 minute ou jusqu'à ce que la créature prenne des dégâts. Les jets d'attaque contre la créature effrayée bénéficient d'un avantage. Une fois cette capacité utilisée, vous devez terminer un repos long pour pouvoir l'utiliser de nouveau."
  },
"PROWLER-Ennemi juré":  {
 "Code" : "Ennemi juré",
 "Class" : "PROWLER",
 "Specialisation" : "","UseNumber" : -1,
 "Description" : "À partir du niveau 1, vous avez des compétences significatives pour pister, chasser et même communiquer avec un certain type d'ennemi. Choisissez un type d'ennemi juré : aberrations, bêtes, célestes, créatures artificielles, créatures monstrueuses, dragons, élémentaires, fées, fiélons, géants, morts-vivants, plantes ou vases. Sinon, vous pouvez sélectionner deux races d’humanoïde (comme gnolls et orques) comme ennemis favoris. Vous avez un avantage aux jets de Sagesse (Survie) pour pister vos ennemis favoris, ainsi qu'aux jets d’Intelligence permettant de se rappeler des informations sur ceux-ci. Quand vous obtenez cette capacité, vous apprenez également une langue de votre choix qui est parlée par vos ennemis favoris, s’ils en parlent une.  Vous choisissez un ennemi juré supplémentaire, ainsi qu'un langage associé, aux niveaux 6 et 14. À ces niveaux, vos choix devraient refléter les types de monstres que vous avez rencontrés au cours de vos aventures."
  },
"PROWLER-Style de combat":  {
 "Code" : "Style de combat",
 "Class" : "PROWLER",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
"PROWLER-Archétype de rôdeur":  {
 "Code" : "Archétype de rôdeur",
 "Class" : "PROWLER",
 "Specialisation" : "","Stats" : true,
 "Description" : "Au niveau 3, vous choisissez un archétype qui vous inspire : le chasseur ou le maître des bêtes, détaillé à la fin de la description de classe. Votre choix vous accorde des capacités aux niveaux 3, 7, 11 et niveau 15."
  },
"PROWLER-Explorateur-né":  {
 "Code" : "Explorateur-né",
 "Class" : "PROWLER",
 "Specialisation" : "","UseNumber" : -1,
 "Description" : "Vous êtes particulièrement familier avec un type de milieu naturel et êtes apte à voyager et à survivre dans ces régions. Choisissez un type de terrain favori : arctique, désert, forêt, littoral, marais, montagne, plaine ou Outreterre. Lorsque vous faites un jet d’Intelligence ou de Sagesse lié à votre terrain favori, votre bonus de maîtrise est doublé si vous utilisez une compétence que vous maîtrisez.  Lors d'un voyage d'une heure ou plus dans votre terrain favori, vous obtenez les avantages suivants :  Le terrain difficile ne ralentit pas le voyage de votre groupe. Votre groupe ne peut pas se perdre, sauf par des moyens magiques. Même lorsque vous êtes engagé dans une autre activité tout en voyageant (comme la recherche de nourriture, la navigation ou le pistage), vous restez alerte face au danger. Si vous voyagez seul, vous pouvez vous déplacer furtivement à un rythme normal. Lorsque vous cherchez de la nourriture, vous en trouvez deux fois plus que normalement. Lorsque vous pistez d'autres créatures, vous découvrez aussi leur nombre exact, leurs tailles, et depuis combien de temps elles sont passées dans la zone. Vous choisissez un terrain favori supplémentaire aux niveaux 6 et 10."
  },
"PROWLER-Sens primitifs":  {
 "Code" : "Sens primitifs",
 "Class" : "PROWLER",
 "Specialisation" : "","UseNumber" : -1,
 "Description" : "À partir du niveau 3, vous pouvez utiliser votre action et dépenser un emplacement de sort de rôdeur afin de concentrer votre attention sur la région autour de vous. Pour 1 minute par niveau d'emplacement de sort que vous dépensez, vous pouvez sentir si les types de créatures suivants sont présents à 1,5 kilomètre de vous (ou jusqu'à 9 kilomètres si vous êtes dans votre terrain favori) : aberrations, célestes, dragons, élémentaires, fées, démons et morts-vivants. Cette capacité ne révèle pas l'emplacement ou le nombre des créatures."
  },
"PROWLER-Amélioration de caractéristiques":  {
 "Code" : "Amélioration de caractéristiques",
 "Class" : "PROWLER",
 "Specialisation" : "","Auto"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"PROWLER-Attaque supplémentaire":  {
 "Code" : "Attaque supplémentaire",
 "Class" : "PROWLER",
 "Specialisation" : "","UseNumber" : -1,
 "Description" : "À partir du niveau 5, vous pouvez attaquer deux fois, au lieu d'une seule, chaque fois que vous réalisez l’action Attaquer durant votre tour."
  },
</v>
      </c>
    </row>
    <row r="451" spans="1:9">
      <c r="A451" s="55"/>
      <c r="B451" s="18"/>
      <c r="I451" t="str">
        <f>CONCATENATE(I373,",
",I374,",
",I375,",
",I376,",
",I377,",
",I378,",
",I379,",
",I380,",
",I381,",
",I382,",
",I383,",
",I384,",
",I385,",
",I386,",
",I387,",
",I388,",
",I389,",
",I390,",
",I391,",
",I392,",
",I393,",
",I394,",
",I395,",
",I396,",
",I397,",
",I398,",
",I399,",
",I400,",
",I401,",
",I402,",
",I403,",
",I404,",
",I405,",
",I406,",
",I407,",
",I408,",
",I409,",
",I410,",
",I411,",
",I412,",
",I413,",
",I414,",
",I415,",
",I416,",
",I417,",
",I418,",
")</f>
        <v xml:space="preserve">"PROWLER-Traversée des terrains":  {
 "Code" : "Traversée des terrains",
 "Class" : "PROWLER",
 "Specialisation" : "","UseNumber" : -1,
 "Description" : "À partir du niveau 8, se déplacer à travers un terrain difficile non magique ne vous coûte pas de mouvement supplémentaire. Vous pouvez également passer à travers des plantes non magiques sans être ralenti et sans subir de dégâts par leurs épines, ou un risque semblable. En outre, vous avez un avantage aux jets de sauvegarde contre les plantes qui sont créés ou manipulés par magie afin d’entraver les mouvements, comme celles créées par le sort enchevêtrement."
  },
"PROWLER-Camouflage naturel":  {
 "Code" : "Camouflage naturel",
 "Class" : "PROWLER",
 "Specialisation" : "","UseNumber" : -1,
 "Description" : "À partir du niveau 10, vous pouvez passer 1 minute pour vous créer un camouflage. Vous devez avoir accès à de la boue fraîche, de la crasse, des plantes, de la suie et d'autres matériaux naturels avec lesquels vous pouvez créer votre camouflage. Une fois que vous êtes camouflé de cette façon, vous pouvez essayer de vous cacher en vous appuyant contre une surface solide, comme un arbre ou un mur, s'il est au moins aussi grand et aussi large que vous. Vous bénéficiez d'un bonus de +10 aux jets de Dextérité (Discrétion) aussi longtemps que vous restez sans bouger et sans effectuer d'actions. Une fois que vous vous déplacez ou prenez une action ou une réaction, vous devez vous camoufler à nouveau pour regagner cet avantage."
  },
"PROWLER-Disparition":  {
 "Code" : "Disparition",
 "Class" : "PROWLER",
 "Specialisation" : "","UseNumber" : -1,
 "Description" : "À partir du niveau 14, vous pouvez utiliser l’action Se cacher en tant qu'action bonus à votre tour. En outre, vous ne pouvez pas être suivi par des moyens non magiques, sauf si vous choisissez de laisser une trace."
  },
"PROWLER-Sens sauvages":  {
 "Code" : "Sens sauvages",
 "Class" : "PROWLER",
 "Specialisation" : "","UseNumber" : -1,
 "Description" : "Au niveau 18, vous gagnez un sens surnaturel qui vous aide à combattre les créatures que vous ne pouvez pas voir. Lorsque vous attaquez une créature que vous ne pouvez pas voir, votre incapacité à voir ne vous impose pas un désavantage à vos jets d'attaque contre elle. Vous êtes également au courant de l'emplacement d'une créature invisible dans un rayon de 9 mètres autour de vous, à condition que la créature ne se soit pas cachée vis-à-vis de vous et que vous ne soyez pas aveuglé ou assourdi."
  },
"PROWLER-Tueur d'ennemis":  {
 "Code" : "Tueur d'ennemis",
 "Class" : "PROWLER",
 "Specialisation" : "","UseNumber" : -1,
 "Description" : "Au niveau 20, vous devenez un chasseur hors pair pour vos ennemis. Une fois à chacun de vos tours, vous pouvez ajouter votre modificateur de Sagesse au jet d'attaque ou de dégâts d'une attaque que vous effectuez contre l'un de vos ennemis favoris. Vous pouvez choisir d'utiliser cette capacité avant ou après le jet, mais avant que les effets du jet ne soient appliqués."
  },
"HUNTER-Proie du chasseur":  {
 "Code" : "Proie du chasseur",
 "Class" : "PROWLER",
 "Specialisation" : "HUNTER","UseNumber" : -1,
 "Description" : "Au niveau 3, vous gagnez l'une des capacités suivantes de votre choix.  Tueur de colosses. Votre ténacité peut user les ennemis les plus puissants. Quand vous touchez une créature lors d'une attaque avec une arme, la créature prend 1d8 dégâts supplémentaires si elle est sous ses points de vie maximums. Vous ne pouvez infliger ces dégâts supplémentaires qu'une fois par tour.  Tueur de géants. Quand une créature, de taille G ou supérieure et située à 1,50 mètre ou moins de vous, vous touche ou vous manque lors d'une attaque, vous pouvez utiliser votre réaction pour attaquer cette créature immédiatement après son attaque, à condition que vous puissiez voir la créature.  Briseur de horde. Une fois à chacun de vos tours, lorsque vous faites une attaque avec une arme, vous pouvez faire une autre attaque avec la même arme contre une créature différente qui se situe à 1,50 mètre ou moins de la cible initiale et à portée de votre arme."
  },
"HUNTER-Tactiques défensives":  {
 "Code" : "Tactiques défensives",
 "Class" : "PROWLER",
 "Specialisation" : "HUNTER","UseNumber" : -1,
 "Description" : "Au niveau 7, vous gagnez l'une des capacités suivantes de votre choix.  Échapper à la horde. Les attaques d'opportunité effectuées contre vous ont un désavantage.  Défense contre les attaques multiples. Quand une créature vous touche lors d'une attaque, vous gagnez un bonus de +4 à la CA contre toutes les attaques ultérieures effectuées par cette créature pour le reste du tour.  Moral d'acier. Vous avez un avantage aux jets de sauvegarde pour ne pas être effrayé."
  },
"HUNTER-Attaques multiples":  {
 "Code" : "Attaques multiples",
 "Class" : "PROWLER",
 "Specialisation" : "HUNTER","UseNumber" : -1,
 "Description" : "Au niveau 11, vous gagnez l'une des capacités suivantes de votre choix.  Salve. Vous pouvez utiliser votre action pour faire une attaque à distance contre n'importe quel nombre de créatures situées à 3 mètres ou moins d'un point que vous pouvez voir et à portée de votre arme. Vous devez avoir assez de munitions pour chaque cible, logiquement, et devez faire un jet d'attaque distinct pour chaque cible.  Attaque tourbillonnante. Vous pouvez utiliser votre action pour réaliser une attaque au corps à corps contre toutes les créatures à 1,50 mètre ou moins de vous, avec un jet d'attaque distinct pour chaque cible."
  },
"HUNTER-Défense du chasseur supérieure":  {
 "Code" : "Défense du chasseur supérieure",
 "Class" : "PROWLER",
 "Specialisation" : "HUNTER","UseNumber" : -1,
 "Description" : "Au niveau 15, vous gagnez l'une des capacités suivantes de votre choix.  Dérobade. Vous pouvez vous retirer prestement de la trajectoire de certaines zones d'effet, comme celles du souffle ardent d'un dragon rouge ou d'un sort de foudre. Lorsque vous êtes soumis à un effet qui vous permet de faire un jet de sauvegarde de Dextérité pour ne prendre que la moitié des dégâts, vous ne prenez à la place aucun dégât si vous réussissez le jet, et seulement la moitié des dégâts si vous échouez.  Retour de bâton. Quand une créature hostile vous manque lors d'une attaque au corps à corps, vous pouvez utiliser votre réaction pour forcer cette créature à répéter la même attaque contre une autre créature (autre qu'elle-même) de votre choix.  Esquive instinctive. Quand un attaquant que vous pouvez voir vous touche lors d'une attaque, vous pouvez utiliser votre réaction pour réduire de moitié les dégâts de l'attaque contre vous."
  },
"BEAST_MASTER-Compagnon du rôdeur":  {
 "Code" : "Compagnon du rôdeur",
 "Class" : "PROWLER",
 "Specialisation" : "BEAST_MASTER","UseNumber" : -1,
 "Description" : "Au niveau 3, vous gagnez un compagnon animal qui vous accompagne lors de vos aventures et qui est entraîné pour combattre à vos côtés. Choisissez une bête de taille M maximum et dont le facteur de puissance est de 1/4 ou moins (le bestiaire présente les caractéristiques du faucon, du molosse et de la panthère par exemple). Ajoutez votre bonus de maîtrise à la CA de la bête, à ses jets d'attaque et de dégâts, ainsi qu'aux jets de sauvegarde et de compétences qu'elle maîtrise. Son total de points de vie est égal à ses points de vie maximums normaux ou à quatre fois votre niveau de rôdeur (selon le plus haut des deux). Comme toute créature, le compagnon peut dépenser des dés de vie durant un repos court.  L'animal obéit à vos ordres du mieux qu'il peut. Son tour se déroule au même score d'initiative que vous. Lors de votre tour, vous pouvez ordonnez verbalement à votre animal de se déplacer vers où vous le souhaitez (ceci ne nécessitant aucune action de votre part). Vous pouvez utiliser votre action pour lui ordonner verbalement de réaliser les actions Attaquer, Aider, Foncer ou Se désengager. Si vous ne lui ordonnez rien, par défaut il prend l'action Esquiver. Une fois acquise la capacité d'Attaque supplémentaire, vous pouvez réaliser une attaque avec une arme tout en commandant à votre animal de réaliser l'action Attaquer. Si vous êtes absent ou incapable d'agir, la bête agit d'elle-même, vous protégeant et se protégeant en priorité. Elle n'a pas besoin d'être commandée pour utiliser sa réaction, comme pour effectuer une attaque d'opportunité par exemple.  Lorsque vous voyagez sur votre terrain favori avec votre bête pour unique compagnie, vous pouvez vous déplacer discrètement à votre rythme normal.  Si votre animal meurt, vous pouvez en obtenir un autre en passant 8 heures à vous lier par magie avec une autre bête qui n'est pas hostile envers vous, du même type que la précédente ou totalement différent."
  },
"BEAST_MASTER-Entraînement exceptionnel":  {
 "Code" : "Entraînement exceptionnel",
 "Class" : "PROWLER",
 "Specialisation" : "BEAST_MASTER","UseNumber" : -1,
 "Description" : "À partir du niveau 7, lorsque lors de votre tour votre compagnon animal n'attaque pas, vous pouvez utiliser votre action bonus pour ordonner à votre animal de réaliser l'action Aider, Foncer ou Se désengager lors de son tour. De plus, l'attaque du compagnon compte dorénavant comme étant magique pour ce qui est de la résistance et de l'immunité aux attaques et aux dégâts non magiques."
  },
"BEAST_MASTER-Fureur bestiale":  {
 "Code" : "Fureur bestiale",
 "Class" : "PROWLER",
 "Specialisation" : "BEAST_MASTER","UseNumber" : -1,
 "Description" : "À partir du niveau 11, lorsque vous ordonnez à votre compagnon animal d'effectuer l'action Attaquer, celui-ci peut attaquer deux fois ou prendre l'action Attaques multiples s'il la possède."
  },
"BEAST_MASTER-Partage des sorts":  {
 "Code" : "Partage des sorts",
 "Class" : "PROWLER",
 "Specialisation" : "BEAST_MASTER","UseNumber" : -1,
 "Description" : "À partir du niveau 15, lorsque vous lancez un sort vous prenant pour cible, vous pouvez aussi affecter votre compagnon animal avec le même sort si la bête se trouve à 9 mètres ou moins de vous."
  },
"WILY-Expertise":  {
 "Code" : "Expertise",
 "Class" : "WILY",
 "Specialisation" : "","Stats" : true,
 "Description" : "Au niveau 1, choisissez deux des compétences que vous maîtrisez, ou l'une d'elles et votre maîtrise des outils de voleur. Votre bonus de maîtrise est doublé pour tout jet de caractéristique que vous réalisez et qui utilise l'une des compétences choisies.  Au niveau 6, vous pouvez choisir deux maîtrises supplémentaires (compétences ou outils de voleur) et obtenir le même avantage."
  },
"WILY-Archétype de roublard":  {
 "Code" : "Archétype de roublard",
 "Class" : "WILY",
 "Specialisation" : "","Stats" : true,
 "Description" : "Au niveau 3, choisissez un archétype que vous émulez dans l'exercice de vos capacités de roublard. Votre archétype vous accorde des capacités spéciales au niveau 3 puis de nouvelles aux niveaux 9, 13 et 17. Voir Archétypes de roublard ci-dessous."
  },
"WILY-Attaque sournoise":  {
 "Code" : "Attaque sournoise",
 "Class" : "WILY",
 "Specialisation" : "","UseNumber" : -1,
 "Description" : "À partir du niveau 1, vous savez comment trouver et exploiter subtilement la distraction d'un ennemi. Une fois par tour, vous pouvez infliger 1d6 points de dégâts supplémentaires à une créature que vous réussissez à toucher si vous avez un avantage au jet d'attaque. L'attaque doit utiliser une arme de finesse ou une arme à distance. Vous n'avez pas besoin d'avoir un avantage au jet d'attaque si un autre ennemi de la cible est à 1,50 mètre ou moins de celle-ci, que cet ennemi n'est pas incapable d'agir, et que vous n'avez pas un désavantage au jet d'attaque. Le nombre de dégâts supplémentaires augmente à mesure que vous gagnez des niveaux dans cette classe, comme indiqué dans la colonne Attaque sournoise de la table ci-dessus."
  },
"WILY-Jargon des voleurs":  {
 "Code" : "Jargon des voleurs",
 "Class" : "WILY",
 "Specialisation" : "","UseNumber" : -1,
 "Description" : "Au cours de votre formation de roublard, vous avez appris le jargon des voleurs, un mélange secret de dialecte, de jargon et de codes, qui vous permet de cacher des messages dans une conversation apparemment normale. Seule une autre créature qui connaît le jargon des voleurs comprend ces messages. Il faut quatre fois plus de temps pour transmettre un tel message qu'il ne le faudrait pour transmettre la même idée clairement.  En outre, vous comprenez un ensemble de signes et de symboles secrets utilisés pour transmettre des messages courts et simples, comme pour indiquer qu'une zone est dangereuse ou qu'elle fait partie du territoire d'une guilde des voleurs, qu'un butin est à proximité, ou que les gens d'une région sont des proies faciles ou qu'ils fourniront une maison sûre pour des voleurs en fuite."
  },
"WILY-Ruse":  {
 "Code" : "Ruse",
 "Class" : "WILY",
 "Specialisation" : "","UseNumber" : -1,
 "Description" : "À partir du niveau 2, votre vivacité d'esprit et votre agilité vous permettent de vous déplacer et d'agir rapidement. Vous pouvez effectuer une action bonus à chacun de vos tours en combat. Cette action ne peut être utilisée que pour Se désengager, Se cacher ou Foncer."
  },
"WILY-Amélioration de caractéristiques":  {
 "Code" : "Amélioration de caractéristiques",
 "Class" : "WILY",
 "Specialisation" : "","Stats" : true,
 "Description" : "Au niveau 4, puis par la suite aux niveaux 8, 10, 12, 16 et 19, vous pouvez augmenter une valeur de caractéristique de votre choix de +2, ou bien augmenter deux valeurs de caractéristique de votre choix de +1. Vous ne pouvez cependant pas augmenter une caractéristique au-delà de 20 par ce biais."
  },
"WILY-Esquive instinctive":  {
 "Code" : "Esquive instinctive",
 "Class" : "WILY",
 "Specialisation" : "","UseNumber" : -1,
 "Description" : "À partir du niveau 5, quand un attaquant que vous pouvez voir vous touche avec une attaque, vous pouvez utiliser votre réaction pour réduire de moitié les dégâts de l'attaque contre vous."
  },
"WILY-Dérobade":  {
 "Code" : "Dérobade",
 "Class" : "WILY",
 "Specialisation" : "","UseNumber" : -1,
 "Description" : "À partir du niveau 7, vous pouvez esquiver certains effets de zone, tels le souffle ardent d'un dragon rouge ou un sort de tempête de glace. Lorsque vous êtes sujet à un effet qui vous permet de faire un jet de sauvegarde de Dextérité pour ne prendre que la moitié des dégâts, vous ne prenez aucun dégât si vous réussissez le jet de sauvegarde, et seulement la moitié des dégâts si vous échouez."
  },
"WILY-Talent":  {
 "Code" : "Talent",
 "Class" : "WILY",
 "Specialisation" : "","UseNumber" : -1,
 "Description" : "À partir du niveau 11, les compétences que vous avez choisies sont si affinées qu'elles approchent la perfection. Chaque fois que vous faites un jet de caractéristique qui vous permet d'ajouter votre bonus de maîtrise, vous pouvez traiter un résultat au dé de 9 ou moins comme un 10."
  },
"WILY-Ouïe fine":  {
 "Code" : "Ouïe fine",
 "Class" : "WILY",
 "Specialisation" : "","UseNumber" : -1,
 "Description" : "À partir du niveau 14, si vous êtes capable d'entendre, vous pouvez assumer l'emplacement de n'importe quelle créature cachée ou invisible à 3 mètres ou moins de vous."
  },
"WILY-Esprit impénétrable":  {
 "Code" : "Esprit impénétrable",
 "Class" : "WILY",
 "Specialisation" : "","UseNumber" : -1,
 "Description" : "À partir du niveau 15, vous avez acquis une plus grande force mentale. Vous gagnez la maîtrise aux jets de sauvegarde de Sagesse."
  },
"WILY-Insaisissable":  {
 "Code" : "Insaisissable",
 "Class" : "WILY",
 "Specialisation" : "","UseNumber" : -1,
 "Description" : "À partir du niveau 18, les attaquants gagnent rarement le dessus sur vous. Aucun jet d'attaque n'a d'avantage contre vous tant que vous n'êtes pas incapable d'agir."
  },
"WILY-Coup de chance":  {
 "Code" : "Coup de chance",
 "Class" : "WILY",
 "Specialisation" : "","UseNumber" : -1,
 "Description" : "Au niveau 20, vous avez un talent surnaturel pour réussir quand vous en avez besoin. Si votre attaque échoue contre une cible à portée, vous pouvez transformer l'échec en succès. Ou bien si vous échouez à un jet de caractéristique, vous pouvez traiter le résultat du d20 comme un 20. Une fois cette capacité utilisée, vous devez terminer un repos court ou long pour pouvoir l'utiliser de nouveau."
  },
"ASSASSIN-Maîtrises supplémentaires":  {
 "Code" : "Maîtrises supplémentaires",
 "Class" : "WILY",
 "Specialisation" : "ASSASSIN","Stats" : true,
 "Description" : "Lorsque vous choisissez cet archétype au niveau 3, vous gagnez la maîtrise du kit de déguisement et du kit d'empoisonneur."
  },
"ASSASSIN-Assassinat":  {
 "Code" : "Assassinat",
 "Class" : "WILY",
 "Specialisation" : "ASSASSIN","UseNumber" : -1,
 "Description" : "À partir du niveau 3, vous êtes au summum de votre art lorsque vous prenez votre adversaire au dépourvu. Vous avez un avantage à vos jets d'attaque contre toute créature qui n'a pas encore joué son tour durant le combat. En outre, si vous attaquez et touchez une créature surprise, cette attaque est considérée comme un coup critique."
  },
"ASSASSIN-Expert en infiltration":  {
 "Code" : "Expert en infiltration",
 "Class" : "WILY",
 "Specialisation" : "ASSASSIN","UseNumber" : -1,
 "Description" : "À partir du niveau 9, vous pouvez créer de fausses identités pour vous-même. Vous devez passer une semaine et dépenser 25 po pour établir l'histoire, la profession et les affiliations d'une identité. Cependant, vous ne pouvez pas établir une identité qui appartient déjà à une personne existante. Par exemple, vous devriez vous procurer les vêtements adéquats, des lettres d'introduction et une certification paraissant officielle pour vous faire passer pour le membre d'une guilde d'une ville lointaine et ainsi vous infiltrer dans un cercle de marchands. Par la suite, si vous adoptez une nouvelle identité avec un déguisement, les autres créatures croiront que vous êtes cette personne jusqu'à ce qu'elles aient une bonne raison pour penser le contraire."
  },
"ASSASSIN-Imposteur":  {
 "Code" : "Imposteur",
 "Class" : "WILY",
 "Specialisation" : "ASSASSIN","UseNumber" : -1,
 "Description" : "À partir du niveau 13, vous gagnez la capacité d'imiter le discours, l'écriture et le comportement d'une autre personne avec une précision extraordinaire. Vous devez étudier pendant au moins trois heures ces trois aspects (écouter parler la personne, examiner son écriture ou observer ses manières). Votre ruse est indiscernable pour un observateur occasionnel. Si une créature suspecte que quelque chose ne va pas, vous avez un avantage à tous les jets de Charisme (Tromperie) que vous réalisez pour éviter d'être détecté."
  },
"ASSASSIN-Frappe mortelle":  {
 "Code" : "Frappe mortelle",
 "Class" : "WILY",
 "Specialisation" : "ASSASSIN","UseNumber" : -1,
 "Description" : "À partir du niveau 17, vous êtes un maître de la mort instantanée. Quand vous attaquez et touchez une créature qui est surprise, celle-ci doit réussir un jet de sauvegarde de Constitution DD 8 + votre modificateur de Dextérité + votre bonus de maîtrise. En cas d'échec, doublez les dégâts de l'attaque contre cette créature."
  },
"ROBBER-Mains lestes":  {
 "Code" : "Mains lestes",
 "Class" : "WILY",
 "Specialisation" : "ROBBER","UseNumber" : -1,
 "Description" : "À partir du niveau 3, vous pouvez utiliser l'action bonus accordée par votre Ruse pour réaliser un jet de Dextérité (Escamotage), utiliser vos outils de voleur pour désarmer un piège ou ouvrir une serrure, ou prendre l'action Utiliser un objet."
  },
"ROBBER-Monte-en-l'air":  {
 "Code" : "Monte-en-l'air",
 "Class" : "WILY",
 "Specialisation" : "ROBBER","UseNumber" : -1,
 "Description" : "À partir du niveau 3, vous gagnez la possibilité d'escalader plus vite que la normale ; escalader ne vous coûte aucun mouvement supplémentaire. En outre, lorsque vous effectuez un saut en longueur, la distance que vous pouvez couvrir augmente d'une distance égale à votre modificateur de Dextérité x 30 cm."
  },
"ROBBER-Discrétion suprême":  {
 "Code" : "Discrétion suprême",
 "Class" : "WILY",
 "Specialisation" : "ROBBER","UseNumber" : -1,
 "Description" : "À partir du niveau 9, vous avez un avantage à tous vos jets de Dextérité (Discrétion) si vous ne vous déplacez pas de plus de la moitié de votre vitesse durant le même tour."
  },
"ROBBER-Utilisation des objets magiques":  {
 "Code" : "Utilisation des objets magiques",
 "Class" : "WILY",
 "Specialisation" : "ROBBER","UseNumber" : -1,
 "Description" : "À partir du niveau 13, vous en savez assez sur le fonctionnement de la magie pour pouvoir utiliser des objets même s'ils ne vous sont pas destinés. Ignorez toutes les exigences de classe, de race et de niveau pour l'utilisation d'objets magiques."
  },
"ROBBER-Réflexes de voleur":  {
 "Code" : "Réflexes de voleur",
 "Class" : "WILY",
 "Specialisation" : "ROBBER","UseNumber" : -1,
 "Description" : "À partir du niveau 17, vous pouvez jouer deux tours lors du premier round d'un combat. Vous prenez votre premier tour suivant votre initiative normale et votre deuxième tour à votre initiative moins 10. Vous ne pouvez pas utiliser cette capacité si vous êtes surpris."
  },
"ARCANE_SWINDLER-Incantations":  {
 "Code" : "Incantations",
 "Class" : "WILY",
 "Specialisation" : "ARCANE_SWINDLER","Stats" : true,
 "Description" : "Lorsque vous atteignez le niveau 3, vous gagnez la possibilité de lancer des sorts.  Sorts mineurs. Vous apprenez trois sorts mineurs : main de mage et deux autres sorts mineurs de votre choix dans la liste de sorts de magicien. Vous apprenez un autre sort mineur de votre choix au niveau 10.  Emplacements de sorts. La table ci-dessous montre de combien d'emplacements de sorts vous disposez pour lancer vos sorts de magicien de niveau 1 et supérieur. Pour lancer un de ces sorts, vous devez dépenser un emplacement du niveau du sort ou supérieur. Vous regagnez tous les emplacements de sorts dépensés lorsque vous terminez un repos long. Par exemple, si vous connaissez le sort de niveau 1 charme-personne et qu'il vous reste un emplacement de niveau 1 et un emplacement de niveau 2, vous pouvez jeter deux fois ce sort.  Sorts connus du niveau 1 et supérieur. Vous connaissez trois sorts de magicien de niveau 1 de votre choix, dont deux que vous devez choisir dans les écoles d’enchantement ou d'illusion. La colonne Sorts connus indique à quel niveau vous apprenez plus de sorts de magicien de niveau 1 ou plus élevé. Chacun de ces sorts doit être de l’école d’enchantement ou d'illusion,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d’enchantement ou d'illusion, à moins que vous ne remplaciez le sort que vous avez acquis au niveau 8, 14 ou 20.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DD de sauvegarde des sorts = 8 + votre bonus de maîtrise + votre modificateur d'Intelligence Modificateur aux attaques avec un sort = votre bonus de maîtrise + votre modificateur d'Intelligence"
  },
"ARCANE_SWINDLER-Escamotage et main de mage":  {
 "Code" : "Escamotage et main de mage",
 "Class" : "WILY",
 "Specialisation" : "ARCANE_SWINDLER","UseNumber" : -1,
 "Description" : "À partir du niveau 3, lorsque vous lancez main de mage, vous pouvez rendre la main spectrale invisible, et vous pouvez effectuer les tâches supplémentaires suivantes avec celle-ci :  Vous pouvez ranger un objet que la main tient dans un contenant, porté ou transporté par une autre créature. Vous pouvez récupérer un objet dans un contenant, porté ou transporté par une autre créature. Vous pouvez utiliser des outils de voleur pour crocheter les serrures et pour désarmer les pièges à distance. Vous pouvez effectuer une de ces tâches sans vous faire remarquer par une créature si vous réussissez un jet de Dextérité (Escamotage) opposé à un jet de Sagesse (Perception) de la créature. En outre, vous pouvez utiliser l'action bonus accordé par votre Ruse pour contrôler la main."
  },
"ARCANE_SWINDLER-Embuscade magique":  {
 "Code" : "Embuscade magique",
 "Class" : "WILY",
 "Specialisation" : "ARCANE_SWINDLER","UseNumber" : -1,
 "Description" : "À partir du niveau 9, si vous êtes caché d'une créature quand vous lui lancez un sort, la créature a un désavantage à tous les jets de sauvegarde contre ce sort pendant ce tour."
  },
"ARCANE_SWINDLER-Escroc polyvalent":  {
 "Code" : "Escroc polyvalent",
 "Class" : "WILY",
 "Specialisation" : "ARCANE_SWINDLER","UseNumber" : -1,
 "Description" : "Au niveau 13, vous obtenez la possibilité de distraire les cibles avec la main de main de mage. Par une action bonus à votre tour, vous pouvez désigner une créature dans un rayon de 1,50 mètre autour de la main spectrale créé par le sort. Le faire vous donne un avantage aux jets d’attaque contre cette créature jusqu'à la fin du tour."
  },
"ARCANE_SWINDLER-Voleur de sorts":  {
 "Code" : "Voleur de sorts",
 "Class" : "WILY",
 "Specialisation" : "ARCANE_SWINDLER","UseNumber" : -1,
 "Description" : "Au niveau 17, vous gagnez la capacité de voler magiquement à un lanceur de sorts sa connaissance pour lancer un sort. Immédiatement après qu’une créature jette un sort qui vous cible ou vous inclut dans sa zone d'effet, vous pouvez utiliser votre réaction pour forcer la créature à faire un jet de sauvegarde avec le modificateur de sa caractéristique d'incantation. Le DD est égal à votre sort DD de sauvegarde contre les sorts. En cas d'échec, vous niez l'effet du sort contre vous, et vous volez la connaissance du sort s’il est au moins de niveau 1 et d'un niveau que vous pouvez lancer (le sort ne doit pas forcément être un sort de magicien). Pour les prochaines 8 heures, vous connaissez le sort et pouvez le lancer à l'aide de vos emplacements de sorts. La créature ne peut plus lancer ce sort jusqu'à ce que les 8 heures soient passées. Une fois que vous utilisez cette capacité, vous ne pouvez pas l'utiliser de nouveau jusqu'à ce que vous finissiez un repos long."
  },
"CONSPIRATOR-Maître des intrigues":  {
 "Code" : "Maître des intrigues",
 "Class" : "WILY",
 "Specialisation" : "CONSPIRATOR","UseNumber" : -1,
 "Description" : "Lorsque vous choisissez cet archétype au niveau 3, vous gagnez la maîtrise du kit de déguisement, du kit de contrefaçon et d'un type de jeu de votre choix. Vous apprenez également deux langues de votre choix. En outre, vous pouvez infailliblement imiter la tonalité de voix et l'accent d'une créature que vous entendez parler pendant au moins 1 minute, vous permettant de vous faire passer pour un locuteur natif d'une terre particulière, à condition de connaitre la langue."
  },
"CONSPIRATOR-Maître des tactiques":  {
 "Code" : "Maître des tactiques",
 "Class" : "WILY",
 "Specialisation" : "CONSPIRATOR","UseNumber" : -1,
 "Description" : "À partir du niveau 3, vous pouvez utiliser l'action Aider en tant qu'action bonus. En outre, lorsque vous utilisez l'action Aider pour aider un allié à attaquer une créature, la cible de cette attaque peut être dans un rayon de 9 mètres autour de vous, au lieu de 1,50 mètre, si la cible peut vous voir ou vous entendre."
  },
"CONSPIRATOR-Manipulateur perspicace":  {
 "Code" : "Manipulateur perspicace",
 "Class" : "WILY",
 "Specialisation" : "CONSPIRATOR","UseNumber" : -1,
 "Description" : "À partir du niveau 9, si vous passez au moins 1 minute à observer ou interagir avec une autre créature en dehors d'une situation de combat, vous pouvez apprendre certaines informations sur ses capacités par rapport aux vôtres. Le MD vous indique si la créature est votre égal, supérieur ou inférieur par rapport à deux des caractéristiques suivantes de votre choix :  Valeur d'Intelligence Valeur de Sagesse Valeur de Charisme Niveau de classe (le cas échéant) À la discrétion du MD, vous pouvez aussi réaliser que vous connaissez une part de l'histoire de la créature ou l'un de ses traits de personnalité, si elle en possède."
  },
"CONSPIRATOR-Redirection":  {
 "Code" : "Redirection",
 "Class" : "WILY",
 "Specialisation" : "CONSPIRATOR","UseNumber" : -1,
 "Description" : "À partir du niveau 13, vous pouvez parfois faire qu'une créature finisse par être la cible d'une attaque qui vous visait. Lorsque vous êtes ciblé par une attaque alors qu'une créature dans un rayon de 1,50 mètre autour de vous vous offre un abri contre cette attaque, vous pouvez utiliser votre réaction pour que la cible de l'attaque soit cette créature, à votre place."
  },
"CONSPIRATOR-Âme de trompeur":  {
 "Code" : "Âme de trompeur",
 "Class" : "WILY",
 "Specialisation" : "CONSPIRATOR","UseNumber" : -1,
 "Description" : "À partir du niveau 17, vos pensées ne peuvent être lues par télépathie ou par d'autres moyens, sauf si vous le permettez. Vous pouvez présenter de fausses pensées en faisant un jet de Charisme (Tromperie) opposé à un jet de Sagesse (Perspicacité) du lecteur de votre esprit. En outre, peu importe ce que vous dites, la magie qui permettrait de déterminer si vous dites la vérité indique que vous ne mentez pas, si vous le souhaitez, et vous ne pouvez pas être obligé de dire la vérité par magie."
  },
</v>
      </c>
    </row>
    <row r="452" spans="1:9">
      <c r="A452" s="55"/>
      <c r="B452" s="18"/>
      <c r="I452" t="str">
        <f>CONCATENATE(I419,",
",I420,",
",I421,",
",I422,",
",I423,",
",I424,",
",I425,",
",I426,",
",I427,",
",I428,",
",I429,",
",I430,",
",I431,",
",I432,",
",I433,",
",I434,",
",I435,",
",I436,",
",I437,",
",I438,",
",I439,",
",I440)</f>
        <v>"WIZARD-Faveur de pacte":  {
 "Code" : "Faveur de pacte",
 "Class" : "WIZARD",
 "Specialisation" : "","UseNumber" : -1,
 "Description" : "Au niveau 3, votre patron vous gratifie d’une aptitude pour votre loyauté. Vous gagnez une des capacités suivantes de votre choix.  Pacte de la Chaîne Vous apprenez le sort appel de familier et pouvez le lancer sous forme de rituel. Ce sort n’est pas comptabilisé comme un sort connu. Lorsque vous lancez le sort, vous pouvez choisir une forme normale pour votre familier (voir le sort) ou bien une des formes spéciales suivantes : esprit follet, diablotin, pseudodragon ou quasit.  En outre, quand vous choisissez l’action Attaquer, vous pouvez renoncer à une de vos attaques pour permettre à votre familier d’attaquer. Lorsque vous laissez votre familier attaquer, il le fait avec sa réaction.  Pacte de la Lame Vous pouvez utiliser une action pour créer une arme de pacte dans votre main libre. Vous pouvez choisir la forme que prend cette arme de corps à corps à chaque fois que vous la créez. Vous maîtrisez cette arme tant que vous la tenez en main. Cette arme est considérée comme magique au regard des résistances et des immunités aux attaques et aux dégâts non magiques.  Votre arme de pacte disparaît si elle se trouve à plus de 1,50 mètre de vous pendant une minute ou plus. Elle disparaît également si vous utilisez à nouveau cette aptitude, si vous congédiez l’arme ou si vous mourrez.  Vous pouvez transformer une arme magique pour en faire votre arme de pacte en effectuant un rituel spécial si vous tenez l’arme en main. Vous réalisez le rituel en 1 heure, ce qui peut être fait durant un repos court. Vous pouvez alors congédier l’arme, la déplaçant dans un espace extra dimensionnel, pour la faire réapparaître à chaque fois que vous créez votre arme de pacte par la suite. Vous ne pouvez affecter un artéfact ou une arme intelligente par ce procédé. Cette arme cesse d’être votre arme de pacte si vous mourrez, si vous vous liez avec une arme différente ou si vous réalisez le rituel de 1 heure pour briser le lien vous unissant à elle. L’arme apparaît alors à vos pieds si elle se trouve dans l’espace extra dimensionnel quand le lien est brisé.  Pacte du Grimoire Votre patron vous offre un grimoire appelé un Livre des Ombres. Dès lors que vous bénéficiez de cette capacité, choisissez trois sorts mineurs dans la liste de sorts de n'importe quelles classes. Tant que vous portez le grimoire sur vous, vous pouvez lancer ces sorts mineurs à volonté. Ils ne comptent pas dans votre nombre de sorts mineurs connus. Même s'ils ne sont pas sur la liste de sorts de sorcier, vous pouvez les considérer comme des sorts de sorcier.  Si vous perdez votre Livre des Ombres, vous pouvez réaliser une cérémonie de 1 heure pour en recevoir un nouveau de la part de votre patron. Cette cérémonie détruit le grimoire précédent et peut être réalisée durant un repos court ou long. Le grimoire se transforme en cendre quand vous mourrez.  Amélioration de caractéristiques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"WIZARD-Patron d'Outremonde":  {
 "Code" : "Patron d'Outremonde",
 "Class" : "WIZARD",
 "Specialisation" : "","Stats" : true,
 "Description" : "Au niveau 1, vous avez conclu un marché avec un être d'Outremonde de votre choix : l'archifée, le fiélon ou le Grand Ancien. Celui-ci vous accorde des faveurs au niveau 1 puis aux niveaux 6, 10 et 14."
  },
"WIZARD-Invocations occultes":  {
 "Code" : "Invocations occultes",
 "Class" : "WIZARD",
 "Specialisation" : "","UseNumber" : -1,
 "Description" : "Durant vos recherches, vous avez exhumé des invocations occultes, fragments d’un savoir interdit qui vous confère une capacité magique permanente.  Au niveau 2, vous gagnez deux invocations occultes de votre choix. Les invocations sont présentées à la fin de la description de cette classe. Lorsque vous gagnez certains niveaux de sorcier, vous gagnez d’autres invocations de votre choix, comme indiqué dans la table ci-dessus. En outre, lorsque vous gagnez un niveau dans cette classe, vous pouvez choisir de remplacer une invocation déjà connue par une autre que vous pouvez apprendre à ce niveau."
  },
"WIZARD-Magie de pacte":  {
 "Code" : "Magie de pacte",
 "Class" : "WIZARD",
 "Specialisation" : "","UseNumber" : -1,
 "Description" : "Vos recherches arcaniques et la magie qui vous est conférée par votre patron vous ont donné des facilités avec les sorts."
  },
"WIZARD-Amélioration de caractéristiques":  {
 "Code" : "Amélioration de caractéristiques",
 "Class" : "WIZARD",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"WIZARD-Arcanum mystique":  {
 "Code" : "Arcanum mystique",
 "Class" : "WIZARD",
 "Specialisation" : "","Stats" : true,
 "Description" : "Au niveau 11, votre patron vous gratifie d’un secret magique appelé Arcanum. Choisissez un sort de niveau 6 dans la liste du sorcier, lequel sera votre Arcanum. Vous pouvez lancer votre Arcanum une fois sans utiliser un emplacement de sort. Vous ne pouvez le lancer de nouveau avant d’avoir terminé un repos long.  Aux niveaux supérieurs, vous bénéficiez d’autres sorts de sorcier de votre choix qui peuvent être utilisés de cette façon : un sort de niveau 7 au niveau 13, un sort de niveau 8 au niveau 15 et un sort de niveau 9 au niveau 17. Vous regagnez l’usage de tous vos Arcanums après un repos long."
  },
"WIZARD-Maître de l'occulte":  {
 "Code" : "Maître de l'occulte",
 "Class" : "WIZARD",
 "Specialisation" : "","UseNumber" : -1,
 "Description" : "Au niveau 20, vous pouvez puiser dans vos réserves mystiques internes pour supplier votre patron afin de récupérer vos emplacements de sorts dépensés. Vous pouvez passer 1 minute à supplier votre patron pour regagner tous vos emplacements de sorts dépensés de votre Magie de pacte. Une fois que vous avez récupéré les emplacements de sorts par ce biais, vous devez terminer un repos long avant de pouvoir le refaire."
  },
"ARCHFAIRY-Liste de sorts étendue":  {
 "Code" : "Liste de sorts étendue",
 "Class" : "WIZARD",
 "Specialisation" : "ARCHFAIRY","Stats" : true,
 "Description" : "L'archifée vous permet de choisir parmi une liste étendue de sorts lorsque vous apprenez un sort de sorcier. Vous ajoutez les sorts suivants à la liste de sorts de sorcier.  Niveau de sort	Sorts 1	            lueurs féeriques, sommeil 2	            apaisement des émotions, force fantasmagorique 3	            clignotement, croissance végétale 4	            domination de bête, invisibilité supérieure 5	            apparence trompeuse, domination d'humanoïde"
  },
"ARCHFAIRY-Présence féerique":  {
 "Code" : "Présence féerique",
 "Class" : "WIZARD",
 "Specialisation" : "ARCHFAIRY","UseNumber" : -1,
 "Description" : "À partir du niveau 1, votre patron vous donne la capacité de projeter la séduisante et redoutable présence des fées. Par une action, vous pouvez obliger toute créature dans un cube de 3 mètres prenant origine à partir de vous-même à réaliser un jet de sauvegarde de Sagesse contre le DD de vos sorts de sorcier. Vous charmez ou effrayez (selon votre choix) les créatures qui ratent leur jet de sauvegarde jusqu'à la fin de votre prochain tour. Une fois que vous avez utilisé cette capacité, vous ne pouvez pas l'utiliser à nouveau jusqu'à ce que vous terminiez un repos court ou long."
  },
"ARCHFAIRY-Échappatoire brumeuse":  {
 "Code" : "Échappatoire brumeuse",
 "Class" : "WIZARD",
 "Specialisation" : "ARCHFAIRY","UseNumber" : -1,
 "Description" : "À partir du niveau 6, vous pouvez disparaître dans un nuage de brume en réponse à un préjudice. Lorsque vous subissez des dégâts, vous pouvez utiliser votre réaction pour devenir invisible et vous téléporter jusqu'à 18 mètres dans un espace inoccupé que vous pouvez voir. Vous restez invisible jusqu'au début de votre prochain tour ou jusqu'à ce que vous attaquiez ou lanciez un sort. Une fois que vous avez utilisé cette capacité, vous ne pouvez pas l'utiliser à nouveau jusqu'à ce que vous terminiez un repos court ou long."
  },
"ARCHFAIRY-Défenses séduisantes":  {
 "Code" : "Défenses séduisantes",
 "Class" : "WIZARD",
 "Specialisation" : "ARCHFAIRY","UseNumber" : -1,
 "Description" : "À partir du niveau 10, votre patron vous enseigne à retourner contre eux la magie de vos ennemis qui affecte l'esprit. Vous êtes immunisé aux charmes, et lorsqu'une créature tente de vous charmer, vous pouvez utiliser votre réaction pour tenter de retourner son charme contre elle. La créature doit réussir un jet de sauvegarde de Sagesse contre le DD de vos sorts de sorcier, ou vous la charmez pendant 1 minute ou jusqu'à ce que la créature subisse des dégâts."
  },
"ARCHFAIRY-Sombre délire":  {
 "Code" : "Sombre délire",
 "Class" : "WIZARD",
 "Specialisation" : "ARCHFAIRY","UseNumber" : -1,
 "Description" : "À partir du niveau 14, vous pouvez plonger une créature dans un univers illusoire. Par une action, choisissez une créature que vous pouvez voir dans un rayon de 18 mètres autour de vous. Celle-ci doit réaliser un jet de protection de Sagesse contre le DD de vos sorts de sorcier. En cas d'échec, vous la charmez ou l'effrayez (selon votee choix) pendant 1 minute ou jusqu'à ce que votre concentration soit brisée (comme si vous vous concentriez sur un sort). Cet effet se termine plus tôt si la créature subit des dégâts. Jusqu'à ce que cette illusion se termine, la créature pense qu'elle est perdue dans un royaume brumeux dont vous choississez l'apparence. La créature ne peut voir et entendre qu'elle-même, vous, et l'illusion. Vous devez terminer un repos court ou long avant de pouvoir utiliser cette capacité de nouveau."
  },
"FIENDISH-Liste de sorts étendue":  {
 "Code" : "Liste de sorts étendue",
 "Class" : "WIZARD",
 "Specialisation" : "FIENDISH","UseNumber" : -1,
 "Description" : "Le fiélon vous permet de choisir parmi une liste étendue de sorts lorsque vous apprenez un sort de sorcier. Vous ajoutez les sorts suivants à la liste de sorts de sorcier.  Niveau de sort	Sorts 1	            injonction, mains brûlantes 2	            cécité/surdité, rayon ardent 3	            boule de feu, nuage puant 4	            bouclier de feu, mur de feu 5	            colonne de flamme, sanctification"
  },
"FIENDISH-Bénédiction du ténébreux":  {
 "Code" : "Bénédiction du ténébreux",
 "Class" : "WIZARD",
 "Specialisation" : "FIENDISH","UseNumber" : -1,
 "Description" : "À partir du niveau 1, lorsque vous réduisez une créature hostile à 0 point de vie, vous gagnez un nombre de points de vie temporaires égal à votre modificateur de Charisme + votre niveau de sorcier (minimum 1)."
  },
"FIENDISH-Chance du ténébreux":  {
 "Code" : "Chance du ténébreux",
 "Class" : "WIZARD",
 "Specialisation" : "FIENDISH","UseNumber" : -1,
 "Description" : "À partir du niveau 6, vous pouvez appeler votre patron afin qu'il modifie le sort en votre faveur. Lorsque vous effectuez un jet de caractéristique ou un jet de sauvegarde, vous pouvez utiliser cette capacité pour ajouter un d10 à votre jet. Vous pouvez décider de le faire après avoir lancé le dé initial, mais la décision doit être prise avant que l'effet ne se produise. Une fois que vous avez utilisé cette capacité, vous ne pouvez pas l'utiliser à nouveau jusqu'à ce que vous terminiez un repos court ou long."
  },
"FIENDISH-Résistance fiélonne":  {
 "Code" : "Résistance fiélonne",
 "Class" : "WIZARD",
 "Specialisation" : "FIENDISH","UseNumber" : -1,
 "Description" : "À partir du niveau 10, vous pouvez choisir un type de dégâts lorsque vous terminez un repos court ou long. Vous gagnez alors la résistance à ce type de dégâts jusqu'à ce que vous en choisissiez un autre grâce à cette capacité. Les dégâts causés par des armes magiques ou des armes en argent ignorent cette résistance."
  },
"FIENDISH-Traversée des enfers":  {
 "Code" : "Traversée des enfers",
 "Class" : "WIZARD",
 "Specialisation" : "FIENDISH","UseNumber" : -1,
 "Description" : "À partir du niveau 14, lorsque vous touchez une créature avec une attaque, vous pouvez utiliser cette capacité pour transporter instantanément la cible vers les plans inférieurs. La créature disparaît et passe par un paysage de cauchemar. À la fin de votre prochain tour, la cible revient dans l'espace qu'elle occupait précédemment, ou dans l'espace libre le plus proche. Si la cible n'est pas un fiélon, elle prend 10d10 dégâts psychiques lorsqu'elle revient de son horrible expérience. Une fois que vous avez utilisé cette capacité, vous ne pouvez pas l'utiliser à nouveau jusqu'à ce que vous terminiez un repos long."
  },
"GREAT_OLD-Liste de sorts étendue":  {
 "Code" : "Liste de sorts étendue",
 "Class" : "WIZARD",
 "Specialisation" : "GREAT_OLD","UseNumber" : -1,
 "Description" : "Le Grand Ancien vous permet de choisir parmi une liste étendue de sorts lorsque vous apprenez un sort de sorcier. Vous ajoutez les sorts suivants à la liste de sorts de sorcier.  Niveau de sort	Sorts 1	            fou rire de Tasha, murmures dissonants 2	            détection des pensées, force fantasmagorique 3	            clairvoyance, communication à distance 4	            domination de bête, tentacules noirs d'Evard 5	            domination d'humanoïde, télékinésie"
  },
"GREAT_OLD-Esprit éveillé":  {
 "Code" : "Esprit éveillé",
 "Class" : "WIZARD",
 "Specialisation" : "GREAT_OLD","UseNumber" : -1,
 "Description" : "À partir du niveau 1, votre connaissance extraterrestre vous donne la possibilité de toucher les esprits d'autres créatures. Vous pouvez parler télépathiquement à toute créature que vous pouvez voir dans un rayon de 9 mètres autour de vous. Vous n'avez pas besoin de partager une langue avec la créature pour qu'elle comprenne vos paroles télépathiques, mais la créature doit être capable de comprendre au moins une langue."
  },
"GREAT_OLD-Protection entropique":  {
 "Code" : "Protection entropique",
 "Class" : "WIZARD",
 "Specialisation" : "GREAT_OLD","UseNumber" : -1,
 "Description" : "À partir du niveau 6, vous apprenez à vous protéger magiquement contre les attaques et à retourner en votre faveur l'échec d'un ennemi. Lorsqu'une créature fait un jet d'attaque contre vous, vous pouvez utiliser votre réaction pour lui imposer un désavantage à ce jet. Si l'attaque échoue, votre prochain jet d'attaque contre cette créature a l'avantage si vous l'attaquez avant la fin de votre prochain tour. Une fois que vous avez utilisé cette capacité, vous ne pouvez pas l'utiliser à nouveau jusqu'à ce que vous terminiez un repos court ou long."
  },
"GREAT_OLD-Bouclier mental":  {
 "Code" : "Bouclier mental",
 "Class" : "WIZARD",
 "Specialisation" : "GREAT_OLD","UseNumber" : -1,
 "Description" : "À partir du niveau 10, vos pensées ne peuvent pas être lues par télépathie ou par d'autres moyens, sauf si vous le permettez. Vous avez également la résistance aux dégâts psychiques, et chaque fois qu'une créature vous inflige des dégâts psychiques, elle prend la même quantité de dégâts que vous."
  },
"GREAT_OLD-Asservissement":  {
 "Code" : "Asservissement",
 "Class" : "WIZARD",
 "Specialisation" : "GREAT_OLD","UseNumber" : -1,
 "Description" : "Au niveau 14, vous gagnez la capacité d'infecter l'esprit d'un humanoïde par la magie extraterrestre de votre patron. Vous pouvez utiliser votre action pour toucher un humanoïde incapable d'agir. Vous charmez alors cette créature jusqu'à ce qu'un sort de délivrance des malédictions lui soit lancé, que la condition charmé lui soit retirée, ou que vous utilisiez cette capacité à nouveau. Vous pouvez communiquer par télépathie avec la créature charmée aussi longtemps que vous vous trouvez tous les deux sur le même plan d'existence."
  }</v>
      </c>
    </row>
    <row r="453" spans="1:9">
      <c r="A453" s="55"/>
      <c r="B453" s="18"/>
    </row>
    <row r="454" spans="1:9">
      <c r="A454" s="55"/>
      <c r="B454" s="18"/>
    </row>
    <row r="455" spans="1:9">
      <c r="A455" s="55"/>
      <c r="B455" s="18"/>
    </row>
    <row r="456" spans="1:9">
      <c r="A456" s="55"/>
      <c r="B456" s="18"/>
    </row>
    <row r="457" spans="1:9">
      <c r="A457" s="55"/>
      <c r="B457" s="18"/>
    </row>
    <row r="458" spans="1:9">
      <c r="A458" s="55"/>
      <c r="B458" s="18"/>
    </row>
    <row r="459" spans="1:9">
      <c r="A459" s="55"/>
      <c r="B459" s="18"/>
    </row>
    <row r="460" spans="1:9">
      <c r="A460" s="55"/>
      <c r="B460" s="18"/>
    </row>
    <row r="461" spans="1:9">
      <c r="A461" s="55"/>
      <c r="B461" s="18"/>
    </row>
    <row r="462" spans="1:9">
      <c r="A462" s="55"/>
      <c r="B462" s="18"/>
    </row>
    <row r="463" spans="1:9">
      <c r="A463" s="55"/>
      <c r="B463" s="18"/>
    </row>
    <row r="464" spans="1:9">
      <c r="A464" s="55"/>
      <c r="B464" s="18"/>
    </row>
    <row r="465" spans="1:2">
      <c r="A465" s="55"/>
      <c r="B465" s="18"/>
    </row>
    <row r="466" spans="1:2">
      <c r="A466" s="55"/>
      <c r="B466" s="18"/>
    </row>
    <row r="467" spans="1:2">
      <c r="A467" s="55"/>
      <c r="B467" s="18"/>
    </row>
    <row r="468" spans="1:2">
      <c r="A468" s="55"/>
      <c r="B468" s="18"/>
    </row>
    <row r="469" spans="1:2">
      <c r="A469" s="55"/>
      <c r="B469" s="18"/>
    </row>
    <row r="470" spans="1:2">
      <c r="A470" s="55"/>
      <c r="B470" s="18"/>
    </row>
    <row r="471" spans="1:2">
      <c r="A471" s="55"/>
      <c r="B471" s="18"/>
    </row>
    <row r="472" spans="1:2">
      <c r="A472" s="55"/>
      <c r="B472" s="18"/>
    </row>
    <row r="473" spans="1:2">
      <c r="A473" s="55"/>
      <c r="B473" s="18"/>
    </row>
    <row r="474" spans="1:2">
      <c r="A474" s="55"/>
      <c r="B474" s="18"/>
    </row>
    <row r="475" spans="1:2">
      <c r="A475" s="55"/>
      <c r="B475" s="18"/>
    </row>
    <row r="476" spans="1:2">
      <c r="A476" s="55"/>
      <c r="B476" s="18"/>
    </row>
    <row r="477" spans="1:2">
      <c r="A477" s="55"/>
      <c r="B477" s="18"/>
    </row>
    <row r="478" spans="1:2">
      <c r="A478" s="55"/>
      <c r="B478" s="18"/>
    </row>
  </sheetData>
  <conditionalFormatting sqref="C1:C1048576 D305:D306 D310:D311 D315:D316 D320 D325 D330:D331">
    <cfRule type="expression" dxfId="1" priority="3">
      <formula>COUNTIF($C:$C,"="&amp;C1)&gt;1</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5F4E3-0AB8-4164-AF44-6BA2AA686405}">
  <dimension ref="A1:I148"/>
  <sheetViews>
    <sheetView zoomScaleNormal="100" workbookViewId="0">
      <pane ySplit="1" topLeftCell="A2" activePane="bottomLeft" state="frozenSplit"/>
      <selection activeCell="D1" sqref="D1"/>
      <selection pane="bottomLeft" activeCell="D10" sqref="D10"/>
    </sheetView>
  </sheetViews>
  <sheetFormatPr baseColWidth="10" defaultRowHeight="15"/>
  <cols>
    <col min="1" max="1" width="31.140625" customWidth="1"/>
    <col min="2" max="2" width="20.28515625" customWidth="1"/>
    <col min="3" max="3" width="37.5703125" customWidth="1"/>
    <col min="4" max="4" width="9" customWidth="1"/>
    <col min="5" max="5" width="7.85546875" customWidth="1"/>
    <col min="6" max="6" width="11.85546875" customWidth="1"/>
    <col min="7" max="7" width="10.140625" customWidth="1"/>
    <col min="8" max="8" width="146.28515625" style="248" customWidth="1"/>
  </cols>
  <sheetData>
    <row r="1" spans="1:9">
      <c r="A1" s="165" t="s">
        <v>302</v>
      </c>
      <c r="B1" s="165" t="s">
        <v>3953</v>
      </c>
      <c r="C1" s="165" t="s">
        <v>954</v>
      </c>
      <c r="D1" s="165" t="s">
        <v>3887</v>
      </c>
      <c r="E1" s="165" t="s">
        <v>3884</v>
      </c>
      <c r="F1" s="165" t="s">
        <v>3886</v>
      </c>
      <c r="G1" s="165" t="s">
        <v>3966</v>
      </c>
      <c r="H1" s="249" t="s">
        <v>1075</v>
      </c>
    </row>
    <row r="2" spans="1:9">
      <c r="A2" s="160"/>
      <c r="B2" s="161" t="s">
        <v>331</v>
      </c>
      <c r="C2" s="161" t="s">
        <v>3954</v>
      </c>
      <c r="D2" s="161"/>
      <c r="E2" s="161"/>
      <c r="F2" s="161">
        <v>-1</v>
      </c>
      <c r="G2" s="161"/>
      <c r="H2" s="250" t="s">
        <v>3955</v>
      </c>
      <c r="I2" t="str">
        <f>""""&amp;A2&amp;B2&amp;"-"&amp;C2&amp;""":  {
 ""Code"" : """&amp;C2&amp;""",
 ""Race"" : """&amp;A2&amp;""",
 ""SubRace"" : """&amp;B2&amp;""","
 &amp;IF(ISBLANK(D2),"", """Stats"" : "&amp;D2&amp;",")
 &amp;IF(ISBLANK(E2),"", """Auto"" : "&amp;E2&amp;",")
 &amp;IF(ISBLANK(F2),"", """UseNumber"" : "&amp;F2&amp;",")
 &amp;IF(ISBLANK(G2),"", """RequiredLevel"" : "&amp;G2&amp;",")&amp;"
 ""Description"" : """&amp;SUBSTITUTE(H2,CHAR(10)," ")&amp;"""
  }"</f>
        <v>"AIR_GENASI-Souffle sans fin":  {
 "Code" : "Souffle sans fin",
 "Race" : "",
 "SubRace" : "AIR_GENASI","UseNumber" : -1,
 "Description" : "Vous pouvez retenir votre respiration indéfiniment tant que vous n’êtes pas incapable d'agir."
  }</v>
      </c>
    </row>
    <row r="3" spans="1:9">
      <c r="A3" s="269"/>
      <c r="B3" s="270" t="s">
        <v>331</v>
      </c>
      <c r="C3" s="270" t="s">
        <v>3956</v>
      </c>
      <c r="D3" s="270"/>
      <c r="E3" s="270"/>
      <c r="F3" s="270">
        <v>1</v>
      </c>
      <c r="G3" s="270"/>
      <c r="H3" s="271" t="s">
        <v>3957</v>
      </c>
      <c r="I3" t="str">
        <f t="shared" ref="I3:I82" si="0">""""&amp;A3&amp;B3&amp;"-"&amp;C3&amp;""":  {
 ""Code"" : """&amp;C3&amp;""",
 ""Race"" : """&amp;A3&amp;""",
 ""SubRace"" : """&amp;B3&amp;""","
 &amp;IF(ISBLANK(D3),"", """Stats"" : "&amp;D3&amp;",")
 &amp;IF(ISBLANK(E3),"", """Auto"" : "&amp;E3&amp;",")
 &amp;IF(ISBLANK(F3),"", """UseNumber"" : "&amp;F3&amp;",")
 &amp;IF(ISBLANK(G3),"", """RequiredLevel"" : "&amp;G3&amp;",")&amp;"
 ""Description"" : """&amp;SUBSTITUTE(H3,CHAR(10)," ")&amp;"""
  }"</f>
        <v>"AIR_GENASI-Se mêler au vent":  {
 "Code" : "Se mêler au vent",
 "Race" : "",
 "SubRace" : "AIR_GENASI","UseNumber" : 1,
 "Description" : "Vous pouvez lancer le sort lévitation une fois, sans composante matérielle, et vous regagnez la capacité de le relancer ainsi après un repos long. La Constitution est votre caractéristique d'incantation pour ce sort."
  }</v>
      </c>
    </row>
    <row r="4" spans="1:9">
      <c r="A4" s="48"/>
      <c r="B4" s="18" t="s">
        <v>334</v>
      </c>
      <c r="C4" s="18" t="s">
        <v>3958</v>
      </c>
      <c r="D4" s="18"/>
      <c r="E4" s="18"/>
      <c r="F4" s="18">
        <v>-1</v>
      </c>
      <c r="G4" s="18"/>
      <c r="H4" s="251" t="s">
        <v>3959</v>
      </c>
      <c r="I4" t="str">
        <f t="shared" si="0"/>
        <v>"EARTH_GENASI-Marche de la terre":  {
 "Code" : "Marche de la terre",
 "Race" : "",
 "SubRace" : "EARTH_GENASI","UseNumber" : -1,
 "Description" : "Vous pouvez vous déplacer sur des terrains difficiles faits de pierre ou de terre sans dépenser de mouvement supplémentaire."
  }</v>
      </c>
    </row>
    <row r="5" spans="1:9">
      <c r="A5" s="269"/>
      <c r="B5" s="275" t="s">
        <v>334</v>
      </c>
      <c r="C5" s="275" t="s">
        <v>3960</v>
      </c>
      <c r="D5" s="270"/>
      <c r="E5" s="270"/>
      <c r="F5" s="275">
        <v>1</v>
      </c>
      <c r="G5" s="275"/>
      <c r="H5" s="271" t="s">
        <v>3961</v>
      </c>
      <c r="I5" t="str">
        <f t="shared" si="0"/>
        <v>"EARTH_GENASI-Fusionner avec la pierre":  {
 "Code" : "Fusionner avec la pierre",
 "Race" : "",
 "SubRace" : "EARTH_GENASI","UseNumber" : 1,
 "Description" : "Vous pouvez lancer le sort passage sans trace une fois, sans composante matérielle, et vous regagnez la capacité de le relancer ainsi après un repos long. La Constitution est votre caractéristique d'incantation pour ce sort."
  }</v>
      </c>
    </row>
    <row r="6" spans="1:9">
      <c r="A6" s="48"/>
      <c r="B6" s="55" t="s">
        <v>336</v>
      </c>
      <c r="C6" s="55" t="s">
        <v>3962</v>
      </c>
      <c r="D6" s="18" t="s">
        <v>2807</v>
      </c>
      <c r="E6" s="55" t="s">
        <v>2807</v>
      </c>
      <c r="F6" s="18"/>
      <c r="G6" s="18"/>
      <c r="H6" s="251" t="s">
        <v>3965</v>
      </c>
      <c r="I6" t="str">
        <f t="shared" si="0"/>
        <v>"FIRE_GENASI-Résistance au feu":  {
 "Code" : "Résistance au feu",
 "Race" : "",
 "SubRace" : "FIRE_GENASI","Stats" : true,"Auto" : true,
 "Description" : "Vous avez la résistance aux dégâts de feu."
  }</v>
      </c>
    </row>
    <row r="7" spans="1:9">
      <c r="A7" s="269"/>
      <c r="B7" s="275" t="s">
        <v>336</v>
      </c>
      <c r="C7" s="275" t="s">
        <v>3963</v>
      </c>
      <c r="D7" s="270"/>
      <c r="E7" s="270"/>
      <c r="F7" s="275">
        <v>1</v>
      </c>
      <c r="G7" s="275">
        <v>3</v>
      </c>
      <c r="H7" s="271" t="s">
        <v>3964</v>
      </c>
      <c r="I7" t="str">
        <f t="shared" si="0"/>
        <v>"FIRE_GENASI-Atteindre le brasier":  {
 "Code" : "Atteindre le brasier",
 "Race" : "",
 "SubRace" : "FIRE_GENASI","UseNumber" : 1,"RequiredLevel" : 3,
 "Description" : "Vous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
  }</v>
      </c>
    </row>
    <row r="8" spans="1:9">
      <c r="A8" s="48"/>
      <c r="B8" s="55" t="s">
        <v>338</v>
      </c>
      <c r="C8" s="55" t="s">
        <v>3967</v>
      </c>
      <c r="D8" s="18" t="s">
        <v>2807</v>
      </c>
      <c r="E8" s="55" t="s">
        <v>2807</v>
      </c>
      <c r="F8" s="18"/>
      <c r="G8" s="18"/>
      <c r="H8" s="251" t="s">
        <v>3968</v>
      </c>
      <c r="I8" t="str">
        <f t="shared" si="0"/>
        <v>"WATER_GENASI-Résistance à l’acide":  {
 "Code" : "Résistance à l’acide",
 "Race" : "",
 "SubRace" : "WATER_GENASI","Stats" : true,"Auto" : true,
 "Description" : "Vous avez la résistance aux dégâts d’acide."
  }</v>
      </c>
    </row>
    <row r="9" spans="1:9">
      <c r="A9" s="48"/>
      <c r="B9" s="55" t="s">
        <v>338</v>
      </c>
      <c r="C9" s="55" t="s">
        <v>3969</v>
      </c>
      <c r="D9" s="18"/>
      <c r="E9" s="18"/>
      <c r="F9" s="55">
        <v>-1</v>
      </c>
      <c r="G9" s="18"/>
      <c r="H9" s="284" t="s">
        <v>3970</v>
      </c>
      <c r="I9" t="str">
        <f t="shared" si="0"/>
        <v>"WATER_GENASI-Amphibien":  {
 "Code" : "Amphibien",
 "Race" : "",
 "SubRace" : "WATER_GENASI","UseNumber" : -1,
 "Description" : "Vous pouvez respirer aussi bien dans l'air que sous l'eau."
  }</v>
      </c>
    </row>
    <row r="10" spans="1:9">
      <c r="A10" s="48"/>
      <c r="B10" s="55" t="s">
        <v>338</v>
      </c>
      <c r="C10" s="55" t="s">
        <v>3971</v>
      </c>
      <c r="D10" s="18"/>
      <c r="E10" s="18"/>
      <c r="F10" s="18">
        <v>-1</v>
      </c>
      <c r="G10" s="18"/>
      <c r="H10" s="251" t="s">
        <v>3972</v>
      </c>
      <c r="I10" t="str">
        <f t="shared" si="0"/>
        <v>"WATER_GENASI-Nage":  {
 "Code" : "Nage",
 "Race" : "",
 "SubRace" : "WATER_GENASI","UseNumber" : -1,
 "Description" : "Votre vitesse de nage est de 9 mètres."
  }</v>
      </c>
    </row>
    <row r="11" spans="1:9">
      <c r="A11" s="51"/>
      <c r="B11" s="182" t="s">
        <v>338</v>
      </c>
      <c r="C11" s="182" t="s">
        <v>3973</v>
      </c>
      <c r="D11" s="52"/>
      <c r="E11" s="52"/>
      <c r="F11" s="52">
        <v>1</v>
      </c>
      <c r="G11" s="52">
        <v>3</v>
      </c>
      <c r="H11" s="255" t="s">
        <v>3974</v>
      </c>
      <c r="I11" t="str">
        <f t="shared" si="0"/>
        <v>"WATER_GENASI-Appeler la vague":  {
 "Code" : "Appeler la vague",
 "Race" : "",
 "SubRace" : "WATER_GENASI","UseNumber" : 1,"RequiredLevel" : 3,
 "Description" : "Vous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
  }</v>
      </c>
    </row>
    <row r="12" spans="1:9">
      <c r="A12" s="160" t="s">
        <v>230</v>
      </c>
      <c r="B12" s="161"/>
      <c r="C12" s="266" t="s">
        <v>2528</v>
      </c>
      <c r="D12" s="161"/>
      <c r="E12" s="161"/>
      <c r="F12" s="266">
        <v>-1</v>
      </c>
      <c r="G12" s="161"/>
      <c r="H12" s="250" t="s">
        <v>3975</v>
      </c>
      <c r="I12" t="str">
        <f t="shared" si="0"/>
        <v>"ELF-Vision dans le noir":  {
 "Code" : "Vision dans le noir",
 "Race" : "ELF",
 "SubRace" : "","UseNumber" : -1,
 "Description" : "Vous pouvez voir à 18 mètres dans une lumière faible comme vous verriez avec une lumière vive, et dans le noir comme vous verriez avec une lumière faible. Dans le noir, vous ne discernez pas les couleurs, uniquement des nuances de gris."
  }</v>
      </c>
    </row>
    <row r="13" spans="1:9">
      <c r="A13" s="48" t="s">
        <v>230</v>
      </c>
      <c r="B13" s="18"/>
      <c r="C13" s="55" t="s">
        <v>3976</v>
      </c>
      <c r="D13" s="18" t="s">
        <v>2807</v>
      </c>
      <c r="E13" s="18"/>
      <c r="F13" s="18"/>
      <c r="G13" s="18"/>
      <c r="H13" s="251" t="s">
        <v>3977</v>
      </c>
      <c r="I13" t="str">
        <f t="shared" si="0"/>
        <v>"ELF-Sens aiguisés":  {
 "Code" : "Sens aiguisés",
 "Race" : "ELF",
 "SubRace" : "","Stats" : true,
 "Description" : "Vous maîtrisez la compétence Perception."
  }</v>
      </c>
    </row>
    <row r="14" spans="1:9">
      <c r="A14" s="48" t="s">
        <v>230</v>
      </c>
      <c r="B14" s="18"/>
      <c r="C14" s="55" t="s">
        <v>3978</v>
      </c>
      <c r="D14" s="18" t="s">
        <v>2807</v>
      </c>
      <c r="E14" s="18"/>
      <c r="F14" s="18"/>
      <c r="G14" s="18"/>
      <c r="H14" s="251" t="s">
        <v>3979</v>
      </c>
      <c r="I14" t="str">
        <f t="shared" si="0"/>
        <v>"ELF-Ascendance féerique":  {
 "Code" : "Ascendance féerique",
 "Race" : "ELF",
 "SubRace" : "","Stats" : true,
 "Description" : "Vous avez un avantage aux jets de sauvegarde contre les effets de charme et la magie ne peut pas vous endormir."
  }</v>
      </c>
    </row>
    <row r="15" spans="1:9">
      <c r="A15" s="269" t="s">
        <v>230</v>
      </c>
      <c r="B15" s="270"/>
      <c r="C15" s="275" t="s">
        <v>3980</v>
      </c>
      <c r="D15" s="270"/>
      <c r="E15" s="270"/>
      <c r="F15" s="275">
        <v>-1</v>
      </c>
      <c r="G15" s="270"/>
      <c r="H15" s="271" t="s">
        <v>3981</v>
      </c>
      <c r="I15" t="str">
        <f t="shared" si="0"/>
        <v>"ELF-Transe":  {
 "Code" : "Transe",
 "Race" : "ELF",
 "SubRace" : "","UseNumber" : -1,
 "Description" : "Les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
  }</v>
      </c>
    </row>
    <row r="16" spans="1:9">
      <c r="A16" s="333"/>
      <c r="B16" s="285" t="s">
        <v>305</v>
      </c>
      <c r="C16" s="287" t="s">
        <v>3982</v>
      </c>
      <c r="D16" s="286"/>
      <c r="E16" s="286"/>
      <c r="F16" s="287">
        <v>-1</v>
      </c>
      <c r="G16" s="286"/>
      <c r="H16" s="334" t="s">
        <v>3983</v>
      </c>
      <c r="I16" t="str">
        <f t="shared" si="0"/>
        <v>"HIGH_ELF-Cachette naturelle":  {
 "Code" : "Cachette naturelle",
 "Race" : "",
 "SubRace" : "HIGH_ELF","UseNumber" : -1,
 "Description" : "Vous pouvez tenter de vous cacher dans une zone à visibilité réduite, comme en présence de branchages, de forte pluie, de neige qui tombe, de brume ou autre phénomène naturel."
  }</v>
      </c>
    </row>
    <row r="17" spans="1:9">
      <c r="A17" s="269"/>
      <c r="B17" s="270" t="s">
        <v>305</v>
      </c>
      <c r="C17" s="275" t="s">
        <v>3991</v>
      </c>
      <c r="D17" s="270" t="s">
        <v>2807</v>
      </c>
      <c r="E17" s="270" t="s">
        <v>2807</v>
      </c>
      <c r="F17" s="275"/>
      <c r="G17" s="270"/>
      <c r="H17" s="271" t="s">
        <v>3992</v>
      </c>
      <c r="I17" t="str">
        <f t="shared" si="0"/>
        <v>"HIGH_ELF-Entraînement aux armes elfiques":  {
 "Code" : "Entraînement aux armes elfiques",
 "Race" : "",
 "SubRace" : "HIGH_ELF","Stats" : true,"Auto" : true,
 "Description" : "Vous obtenez la maîtrise des épées (longues et courtes) et des arcs (longs et courts)."
  }</v>
      </c>
    </row>
    <row r="18" spans="1:9">
      <c r="A18" s="48"/>
      <c r="B18" s="18" t="s">
        <v>311</v>
      </c>
      <c r="C18" s="55" t="s">
        <v>3984</v>
      </c>
      <c r="D18" s="18"/>
      <c r="E18" s="18"/>
      <c r="F18" s="55">
        <v>-1</v>
      </c>
      <c r="G18" s="18"/>
      <c r="H18" s="251" t="s">
        <v>3985</v>
      </c>
      <c r="I18" t="str">
        <f t="shared" si="0"/>
        <v>"DROW-Vision dans le noir supérieure":  {
 "Code" : "Vision dans le noir supérieure",
 "Race" : "",
 "SubRace" : "DROW","UseNumber" : -1,
 "Description" : "Votre vision dans le noir est étendue à 36 mètres."
  }</v>
      </c>
    </row>
    <row r="19" spans="1:9">
      <c r="A19" s="48"/>
      <c r="B19" s="18" t="s">
        <v>311</v>
      </c>
      <c r="C19" s="55" t="s">
        <v>3986</v>
      </c>
      <c r="D19" s="18"/>
      <c r="E19" s="18"/>
      <c r="F19" s="55">
        <v>-1</v>
      </c>
      <c r="G19" s="18"/>
      <c r="H19" s="251" t="s">
        <v>3987</v>
      </c>
      <c r="I19" t="str">
        <f t="shared" si="0"/>
        <v>"DROW-Sensibilité à la lumière du soleil":  {
 "Code" : "Sensibilité à la lumière du soleil",
 "Race" : "",
 "SubRace" : "DROW","UseNumber" : -1,
 "Description" : "Vous avez un désavantage aux jets d'attaque et aux jets de Sagesse (Perception) basés sur ​​la vue quand vous, la cible de l'attaque ou ce que vous essayez de détecter est exposé à la lumière du soleil."
  }</v>
      </c>
    </row>
    <row r="20" spans="1:9">
      <c r="A20" s="48"/>
      <c r="B20" s="55" t="s">
        <v>311</v>
      </c>
      <c r="C20" s="55" t="s">
        <v>4064</v>
      </c>
      <c r="D20" s="18" t="s">
        <v>2807</v>
      </c>
      <c r="E20" s="55" t="s">
        <v>2807</v>
      </c>
      <c r="F20" s="55"/>
      <c r="G20" s="18"/>
      <c r="H20" s="251" t="s">
        <v>3990</v>
      </c>
      <c r="I20" t="str">
        <f t="shared" si="0"/>
        <v>"DROW-Entraînement aux armes drows":  {
 "Code" : "Entraînement aux armes drows",
 "Race" : "",
 "SubRace" : "DROW","Stats" : true,"Auto" : true,
 "Description" : "Vous obtenez la maîtrise des rapières, des épées courtes et des arbalètes de poing"
  }</v>
      </c>
    </row>
    <row r="21" spans="1:9">
      <c r="A21" s="269"/>
      <c r="B21" s="275" t="s">
        <v>311</v>
      </c>
      <c r="C21" s="275" t="s">
        <v>3988</v>
      </c>
      <c r="D21" s="270"/>
      <c r="E21" s="270"/>
      <c r="F21" s="275">
        <v>1</v>
      </c>
      <c r="G21" s="270">
        <v>3</v>
      </c>
      <c r="H21" s="271" t="s">
        <v>3989</v>
      </c>
      <c r="I21" t="str">
        <f t="shared" si="0"/>
        <v>"DROW-Magie drow":  {
 "Code" : "Magie drow",
 "Race" : "",
 "SubRace" : "DROW","UseNumber" : 1,"RequiredLevel" : 3,
 "Description" : "Vous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
  }</v>
      </c>
    </row>
    <row r="22" spans="1:9">
      <c r="A22" s="335"/>
      <c r="B22" s="336" t="s">
        <v>308</v>
      </c>
      <c r="C22" s="336" t="s">
        <v>3991</v>
      </c>
      <c r="D22" s="337" t="s">
        <v>2807</v>
      </c>
      <c r="E22" s="337" t="s">
        <v>2807</v>
      </c>
      <c r="F22" s="337"/>
      <c r="G22" s="337"/>
      <c r="H22" s="338" t="s">
        <v>3992</v>
      </c>
      <c r="I22" t="str">
        <f t="shared" si="0"/>
        <v>"WOODEN_ELF-Entraînement aux armes elfiques":  {
 "Code" : "Entraînement aux armes elfiques",
 "Race" : "",
 "SubRace" : "WOODEN_ELF","Stats" : true,"Auto" : true,
 "Description" : "Vous obtenez la maîtrise des épées (longues et courtes) et des arcs (longs et courts)."
  }</v>
      </c>
    </row>
    <row r="23" spans="1:9">
      <c r="A23" s="339"/>
      <c r="B23" s="340" t="s">
        <v>5810</v>
      </c>
      <c r="C23" s="340" t="s">
        <v>5825</v>
      </c>
      <c r="D23" s="341" t="s">
        <v>2807</v>
      </c>
      <c r="E23" s="341"/>
      <c r="F23" s="341"/>
      <c r="G23" s="341"/>
      <c r="H23" s="342" t="s">
        <v>5826</v>
      </c>
      <c r="I23" t="str">
        <f t="shared" si="0"/>
        <v>"GRUGACH-Sorts mineurs":  {
 "Code" : "Sorts mineurs",
 "Race" : "",
 "SubRace" : "GRUGACH","Stats" : true,
 "Description" : "Vous connaissez un sort mineur de votre choix parmi la liste des sorts mineurs de druide. La Sagesse est votre caractéristique d'incantation pour ces sorts."
  }</v>
      </c>
    </row>
    <row r="24" spans="1:9">
      <c r="A24" s="48"/>
      <c r="B24" s="55" t="s">
        <v>5822</v>
      </c>
      <c r="C24" s="55" t="s">
        <v>5827</v>
      </c>
      <c r="D24" s="18"/>
      <c r="E24" s="18"/>
      <c r="F24" s="18">
        <v>-1</v>
      </c>
      <c r="G24" s="18"/>
      <c r="H24" s="251" t="s">
        <v>5828</v>
      </c>
      <c r="I24" t="str">
        <f t="shared" si="0"/>
        <v>"AQUATIC_ELF-Enfant de la mer":  {
 "Code" : "Enfant de la mer",
 "Race" : "",
 "SubRace" : "AQUATIC_ELF","UseNumber" : -1,
 "Description" : "Vous avez une vitesse de nage de 9 mètres, et vous pouvez respirer sous l'eau comme dans l'air."
  }</v>
      </c>
    </row>
    <row r="25" spans="1:9">
      <c r="A25" s="343"/>
      <c r="B25" s="344" t="s">
        <v>5822</v>
      </c>
      <c r="C25" s="344" t="s">
        <v>5829</v>
      </c>
      <c r="D25" s="345"/>
      <c r="E25" s="345"/>
      <c r="F25" s="345">
        <v>-1</v>
      </c>
      <c r="G25" s="345"/>
      <c r="H25" s="346" t="s">
        <v>5830</v>
      </c>
      <c r="I25" t="str">
        <f t="shared" si="0"/>
        <v>"AQUATIC_ELF-Ami de la mer":  {
 "Code" : "Ami de la mer",
 "Race" : "",
 "SubRace" : "AQUATIC_ELF","UseNumber" : -1,
 "Description" : "À l'aide de gestes et de sons, vous pouvez communiquer des idées simples à des créatures de taille Petite ou inférieure qui ont une vitesse de nage innée."
  }</v>
      </c>
    </row>
    <row r="26" spans="1:9">
      <c r="A26" s="339"/>
      <c r="B26" s="340" t="s">
        <v>5808</v>
      </c>
      <c r="C26" s="340" t="s">
        <v>2537</v>
      </c>
      <c r="D26" s="341"/>
      <c r="E26" s="341"/>
      <c r="F26" s="340">
        <v>-1</v>
      </c>
      <c r="G26" s="341"/>
      <c r="H26" s="342" t="s">
        <v>5831</v>
      </c>
      <c r="I26" t="str">
        <f t="shared" si="0"/>
        <v>"AVARIEL-Vol":  {
 "Code" : "Vol",
 "Race" : "",
 "SubRace" : "AVARIEL","UseNumber" : -1,
 "Description" : "Vous avez une vitesse de vol de 9 mètres. Pour utiliser cette vitesse, vous ne devez pas porter d'armure intermédiaire ou lourde."
  }</v>
      </c>
    </row>
    <row r="27" spans="1:9">
      <c r="A27" s="48"/>
      <c r="B27" s="55" t="s">
        <v>5824</v>
      </c>
      <c r="C27" s="55" t="s">
        <v>5833</v>
      </c>
      <c r="D27" s="18"/>
      <c r="E27" s="18"/>
      <c r="F27" s="55">
        <v>1</v>
      </c>
      <c r="G27" s="18"/>
      <c r="H27" s="251" t="s">
        <v>5834</v>
      </c>
      <c r="I27" t="str">
        <f t="shared" si="0"/>
        <v>"SHADAR_KAI-Bénédiction de la Reine Corneille":  {
 "Code" : "Bénédiction de la Reine Corneille",
 "Race" : "",
 "SubRace" : "SHADAR_KAI","UseNumber" : 1,
 "Description" : "Par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
  }</v>
      </c>
    </row>
    <row r="28" spans="1:9">
      <c r="A28" s="51"/>
      <c r="B28" s="182" t="s">
        <v>5824</v>
      </c>
      <c r="C28" s="182" t="s">
        <v>5825</v>
      </c>
      <c r="D28" s="52" t="s">
        <v>2807</v>
      </c>
      <c r="E28" s="52"/>
      <c r="F28" s="52"/>
      <c r="G28" s="52"/>
      <c r="H28" s="255" t="s">
        <v>5832</v>
      </c>
      <c r="I28" t="str">
        <f t="shared" si="0"/>
        <v>"SHADAR_KAI-Sorts mineurs":  {
 "Code" : "Sorts mineurs",
 "Race" : "",
 "SubRace" : "SHADAR_KAI","Stats" : true,
 "Description" : "Vous connaissez un sort mineur de votre choix parmi contact glacial, stabilisation et thaumaturgie. Le Charisme est votre caractéristique d'incantation pour ces sorts."
  }</v>
      </c>
    </row>
    <row r="29" spans="1:9">
      <c r="A29" s="160" t="s">
        <v>4</v>
      </c>
      <c r="B29" s="266"/>
      <c r="C29" s="266" t="s">
        <v>3996</v>
      </c>
      <c r="D29" s="161"/>
      <c r="E29" s="161"/>
      <c r="F29" s="161">
        <v>-1</v>
      </c>
      <c r="G29" s="161"/>
      <c r="H29" s="267" t="s">
        <v>3997</v>
      </c>
      <c r="I29" t="str">
        <f t="shared" si="0"/>
        <v>"HALFELIN-Chanceux":  {
 "Code" : "Chanceux",
 "Race" : "HALFELIN",
 "SubRace" : "","UseNumber" : -1,
 "Description" : "Lorsque vous obtenez un 1 au dé d'un jet d'attaque, de caractéristique ou de sauvegarde, vous pouvez relancer le dé et devez alors utiliser ce nouveau résultat."
  }</v>
      </c>
    </row>
    <row r="30" spans="1:9">
      <c r="A30" s="48" t="s">
        <v>4</v>
      </c>
      <c r="B30" s="55"/>
      <c r="C30" s="55" t="s">
        <v>3998</v>
      </c>
      <c r="D30" s="18" t="s">
        <v>2807</v>
      </c>
      <c r="E30" s="18"/>
      <c r="F30" s="18"/>
      <c r="G30" s="18"/>
      <c r="H30" s="260" t="s">
        <v>3999</v>
      </c>
      <c r="I30" t="str">
        <f t="shared" si="0"/>
        <v>"HALFELIN-Vaillant":  {
 "Code" : "Vaillant",
 "Race" : "HALFELIN",
 "SubRace" : "","Stats" : true,
 "Description" : "Vous avez un avantage aux jets de sauvegarde pour ne pas être effrayé."
  }</v>
      </c>
    </row>
    <row r="31" spans="1:9">
      <c r="A31" s="269" t="s">
        <v>4</v>
      </c>
      <c r="B31" s="275"/>
      <c r="C31" s="275" t="s">
        <v>4000</v>
      </c>
      <c r="D31" s="270"/>
      <c r="E31" s="270"/>
      <c r="F31" s="270">
        <v>-1</v>
      </c>
      <c r="G31" s="270"/>
      <c r="H31" s="277" t="s">
        <v>4001</v>
      </c>
      <c r="I31" t="str">
        <f t="shared" si="0"/>
        <v>"HALFELIN-Agilité halfeline":  {
 "Code" : "Agilité halfeline",
 "Race" : "HALFELIN",
 "SubRace" : "","UseNumber" : -1,
 "Description" : "Vous pouvez passer dans l'espace de toute créature d'une taille supérieure à la vôtre"
  }</v>
      </c>
    </row>
    <row r="32" spans="1:9">
      <c r="A32" s="289"/>
      <c r="B32" s="290" t="s">
        <v>315</v>
      </c>
      <c r="C32" s="290" t="s">
        <v>4002</v>
      </c>
      <c r="D32" s="291"/>
      <c r="E32" s="291"/>
      <c r="F32" s="291"/>
      <c r="G32" s="291"/>
      <c r="H32" s="292" t="s">
        <v>4003</v>
      </c>
      <c r="I32" t="str">
        <f t="shared" si="0"/>
        <v>"LIGHT_FOOT_HALFELIN-Discrétion naturelle":  {
 "Code" : "Discrétion naturelle",
 "Race" : "",
 "SubRace" : "LIGHT_FOOT_HALFELIN",
 "Description" : "Vous pouvez tenter de vous cacher si vous vous trouvez derrière une créature d'une taille supérieure à la vôtre."
  }</v>
      </c>
    </row>
    <row r="33" spans="1:9">
      <c r="A33" s="51"/>
      <c r="B33" s="182" t="s">
        <v>316</v>
      </c>
      <c r="C33" s="182" t="s">
        <v>4004</v>
      </c>
      <c r="D33" s="52" t="s">
        <v>2807</v>
      </c>
      <c r="E33" s="52" t="s">
        <v>2807</v>
      </c>
      <c r="F33" s="52"/>
      <c r="G33" s="52"/>
      <c r="H33" s="288" t="s">
        <v>4005</v>
      </c>
      <c r="I33" t="str">
        <f t="shared" si="0"/>
        <v>"ROBUST_HALFELIN-Résistance des robustes":  {
 "Code" : "Résistance des robustes",
 "Race" : "",
 "SubRace" : "ROBUST_HALFELIN","Stats" : true,"Auto" : true,
 "Description" : "Vous obtenez un avantage aux jets de sauvegarde contre le poison et la résistance contre les dégâts de poison."
  }</v>
      </c>
    </row>
    <row r="34" spans="1:9">
      <c r="A34" s="75" t="s">
        <v>232</v>
      </c>
      <c r="B34" s="55"/>
      <c r="C34" s="55" t="s">
        <v>2528</v>
      </c>
      <c r="D34" s="18"/>
      <c r="E34" s="18"/>
      <c r="F34" s="18">
        <v>-1</v>
      </c>
      <c r="G34" s="18"/>
      <c r="H34" s="260" t="s">
        <v>4006</v>
      </c>
      <c r="I34" t="str">
        <f t="shared" si="0"/>
        <v>"DWARF-Vision dans le noir":  {
 "Code" : "Vision dans le noir",
 "Race" : "DWARF",
 "SubRace" : "","UseNumber" : -1,
 "Description" : "Habitué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
  }</v>
      </c>
    </row>
    <row r="35" spans="1:9">
      <c r="A35" s="75" t="s">
        <v>232</v>
      </c>
      <c r="B35" s="55"/>
      <c r="C35" s="55" t="s">
        <v>4007</v>
      </c>
      <c r="D35" s="18" t="s">
        <v>2807</v>
      </c>
      <c r="E35" s="55" t="s">
        <v>2807</v>
      </c>
      <c r="F35" s="18"/>
      <c r="G35" s="18"/>
      <c r="H35" s="260" t="s">
        <v>4008</v>
      </c>
      <c r="I35" t="str">
        <f t="shared" si="0"/>
        <v>"DWARF-Résistance naine":  {
 "Code" : "Résistance naine",
 "Race" : "DWARF",
 "SubRace" : "","Stats" : true,"Auto" : true,
 "Description" : "Vous avez un avantage aux jets de sauvegarde contre le poison et obtenez la résistance contre les dégâts de poison."
  }</v>
      </c>
    </row>
    <row r="36" spans="1:9">
      <c r="A36" s="48" t="s">
        <v>232</v>
      </c>
      <c r="B36" s="18"/>
      <c r="C36" s="55" t="s">
        <v>4009</v>
      </c>
      <c r="D36" s="18" t="s">
        <v>2807</v>
      </c>
      <c r="E36" s="55" t="s">
        <v>2807</v>
      </c>
      <c r="F36" s="18"/>
      <c r="G36" s="18"/>
      <c r="H36" s="251" t="s">
        <v>4010</v>
      </c>
      <c r="I36" t="str">
        <f t="shared" si="0"/>
        <v>"DWARF-Entraînement aux armes naines":  {
 "Code" : "Entraînement aux armes naines",
 "Race" : "DWARF",
 "SubRace" : "","Stats" : true,"Auto" : true,
 "Description" : "Vous obtenez la maîtrise des hachettes, des haches d'armes, des marteaux légers et des marteaux de guerre."
  }</v>
      </c>
    </row>
    <row r="37" spans="1:9">
      <c r="A37" s="48" t="s">
        <v>232</v>
      </c>
      <c r="B37" s="18"/>
      <c r="C37" s="55" t="s">
        <v>4012</v>
      </c>
      <c r="D37" s="55" t="s">
        <v>2807</v>
      </c>
      <c r="E37" s="18"/>
      <c r="F37" s="18"/>
      <c r="G37" s="18"/>
      <c r="H37" s="251" t="s">
        <v>4013</v>
      </c>
      <c r="I37" t="str">
        <f t="shared" si="0"/>
        <v>"DWARF-Maîtrise des outils":  {
 "Code" : "Maîtrise des outils",
 "Race" : "DWARF",
 "SubRace" : "","Stats" : true,
 "Description" : "Vous obtenez la maîtrise d'un des outils d'artisan suivant au choix : outils de forgeron, outils de brasseur ou outils de maçon."
  }</v>
      </c>
    </row>
    <row r="38" spans="1:9">
      <c r="A38" s="269" t="s">
        <v>232</v>
      </c>
      <c r="B38" s="270"/>
      <c r="C38" s="275" t="s">
        <v>4014</v>
      </c>
      <c r="D38" s="275"/>
      <c r="E38" s="270"/>
      <c r="F38" s="270">
        <v>-1</v>
      </c>
      <c r="G38" s="270"/>
      <c r="H38" s="271" t="s">
        <v>4015</v>
      </c>
      <c r="I38" t="str">
        <f t="shared" si="0"/>
        <v>"DWARF-Connaissance de la pierre":  {
 "Code" : "Connaissance de la pierre",
 "Race" : "DWARF",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v>
      </c>
    </row>
    <row r="39" spans="1:9">
      <c r="A39" s="289"/>
      <c r="B39" s="270" t="s">
        <v>326</v>
      </c>
      <c r="C39" s="275" t="s">
        <v>4016</v>
      </c>
      <c r="D39" s="275" t="s">
        <v>2807</v>
      </c>
      <c r="E39" s="270"/>
      <c r="F39" s="270"/>
      <c r="G39" s="270"/>
      <c r="H39" s="271" t="s">
        <v>4017</v>
      </c>
      <c r="I39" t="str">
        <f t="shared" si="0"/>
        <v>"HILLS_DWARF-Robustesse naine":  {
 "Code" : "Robustesse naine",
 "Race" : "",
 "SubRace" : "HILLS_DWARF","Stats" : true,
 "Description" : "Vos points de vie maximums augmentent de 1 à chaque niveau."
  }</v>
      </c>
    </row>
    <row r="40" spans="1:9">
      <c r="A40" s="48"/>
      <c r="B40" s="18" t="s">
        <v>325</v>
      </c>
      <c r="C40" s="55" t="s">
        <v>4018</v>
      </c>
      <c r="D40" s="55" t="s">
        <v>2807</v>
      </c>
      <c r="E40" s="55" t="s">
        <v>2807</v>
      </c>
      <c r="F40" s="18"/>
      <c r="G40" s="18"/>
      <c r="H40" s="251" t="s">
        <v>4019</v>
      </c>
      <c r="I40" t="str">
        <f t="shared" si="0"/>
        <v>"MONTAINS_DWARF-Formation au port des armures naines":  {
 "Code" : "Formation au port des armures naines",
 "Race" : "",
 "SubRace" : "MONTAINS_DWARF","Stats" : true,"Auto" : true,
 "Description" : "Vous maîtrisez les armures légères et intermédiaires."
  }</v>
      </c>
    </row>
    <row r="41" spans="1:9">
      <c r="A41" s="160" t="s">
        <v>233</v>
      </c>
      <c r="B41" s="161"/>
      <c r="C41" s="266" t="s">
        <v>2528</v>
      </c>
      <c r="D41" s="266"/>
      <c r="E41" s="161"/>
      <c r="F41" s="161">
        <v>-1</v>
      </c>
      <c r="G41" s="161"/>
      <c r="H41" s="250" t="s">
        <v>4020</v>
      </c>
      <c r="I41" t="str">
        <f t="shared" si="0"/>
        <v>"HALF_ELF-Vision dans le noir":  {
 "Code" : "Vision dans le noir",
 "Race" : "HALF_ELF",
 "SubRace" : "","UseNumber" : -1,
 "Description" : "Grâce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42" spans="1:9">
      <c r="A42" s="48" t="s">
        <v>233</v>
      </c>
      <c r="B42" s="18"/>
      <c r="C42" s="55" t="s">
        <v>3978</v>
      </c>
      <c r="D42" s="55" t="s">
        <v>2807</v>
      </c>
      <c r="E42" s="55" t="s">
        <v>2807</v>
      </c>
      <c r="F42" s="18"/>
      <c r="G42" s="18"/>
      <c r="H42" s="251" t="s">
        <v>3979</v>
      </c>
      <c r="I42" t="str">
        <f t="shared" si="0"/>
        <v>"HALF_ELF-Ascendance féerique":  {
 "Code" : "Ascendance féerique",
 "Race" : "HALF_ELF",
 "SubRace" : "","Stats" : true,"Auto" : true,
 "Description" : "Vous avez un avantage aux jets de sauvegarde contre les effets de charme et la magie ne peut pas vous endormir."
  }</v>
      </c>
    </row>
    <row r="43" spans="1:9">
      <c r="A43" s="51" t="s">
        <v>233</v>
      </c>
      <c r="B43" s="52"/>
      <c r="C43" s="182" t="s">
        <v>4021</v>
      </c>
      <c r="D43" s="182" t="s">
        <v>2807</v>
      </c>
      <c r="E43" s="52"/>
      <c r="F43" s="52"/>
      <c r="G43" s="52"/>
      <c r="H43" s="255" t="s">
        <v>4022</v>
      </c>
      <c r="I43" t="str">
        <f t="shared" si="0"/>
        <v>"HALF_ELF-Polyvalence":  {
 "Code" : "Polyvalence",
 "Race" : "HALF_ELF",
 "SubRace" : "","Stats" : true,
 "Description" : "Vous gagnez la maîtrise de deux compétences de votre choix."
  }</v>
      </c>
    </row>
    <row r="44" spans="1:9">
      <c r="A44" s="160" t="s">
        <v>234</v>
      </c>
      <c r="B44" s="161"/>
      <c r="C44" s="266" t="s">
        <v>2528</v>
      </c>
      <c r="D44" s="266"/>
      <c r="E44" s="161"/>
      <c r="F44" s="161">
        <v>-1</v>
      </c>
      <c r="G44" s="161"/>
      <c r="H44" s="250" t="s">
        <v>4023</v>
      </c>
      <c r="I44" t="str">
        <f t="shared" si="0"/>
        <v>"HALF_ORC-Vision dans le noir":  {
 "Code" : "Vision dans le noir",
 "Race" : "HALF_ORC",
 "SubRace" : "","UseNumber" : -1,
 "Description" : "Grâce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45" spans="1:9">
      <c r="A45" s="48" t="s">
        <v>234</v>
      </c>
      <c r="B45" s="18"/>
      <c r="C45" s="55" t="s">
        <v>4024</v>
      </c>
      <c r="D45" s="55" t="s">
        <v>2807</v>
      </c>
      <c r="E45" s="18"/>
      <c r="F45" s="18"/>
      <c r="G45" s="18"/>
      <c r="H45" s="251" t="s">
        <v>4025</v>
      </c>
      <c r="I45" t="str">
        <f t="shared" si="0"/>
        <v>"HALF_ORC-Menaçant":  {
 "Code" : "Menaçant",
 "Race" : "HALF_ORC",
 "SubRace" : "","Stats" : true,
 "Description" : "Vous gagnez la maîtrise de la compétence Intimidation."
  }</v>
      </c>
    </row>
    <row r="46" spans="1:9">
      <c r="A46" s="48" t="s">
        <v>234</v>
      </c>
      <c r="B46" s="18"/>
      <c r="C46" s="55" t="s">
        <v>4026</v>
      </c>
      <c r="D46" s="55"/>
      <c r="E46" s="18"/>
      <c r="F46" s="18">
        <v>-1</v>
      </c>
      <c r="G46" s="18"/>
      <c r="H46" s="251" t="s">
        <v>4027</v>
      </c>
      <c r="I46" t="str">
        <f t="shared" si="0"/>
        <v>"HALF_ORC-Endurance implacable":  {
 "Code" : "Endurance implacable",
 "Race" : "HALF_ORC",
 "SubRace" : "","UseNumber" : -1,
 "Description" : "Lorsque vous tombez à 0 point de vie, mais que vous n'êtes pas tué sur le coup, vous pouvez passer à 1 point de vie à la place. Vous devez terminer un repos long avant de pouvoir utiliser cette capacité de nouveau."
  }</v>
      </c>
    </row>
    <row r="47" spans="1:9">
      <c r="A47" s="51" t="s">
        <v>234</v>
      </c>
      <c r="B47" s="52"/>
      <c r="C47" s="182" t="s">
        <v>4028</v>
      </c>
      <c r="D47" s="182"/>
      <c r="E47" s="52"/>
      <c r="F47" s="52">
        <v>-1</v>
      </c>
      <c r="G47" s="52"/>
      <c r="H47" s="255" t="s">
        <v>4029</v>
      </c>
      <c r="I47" t="str">
        <f t="shared" si="0"/>
        <v>"HALF_ORC-Attaques sauvages":  {
 "Code" : "Attaques sauvages",
 "Race" : "HALF_ORC",
 "SubRace" : "","UseNumber" : -1,
 "Description" : "Lorsque vous réalisez un coup critique lors d'une attaque au corps à corps avec une arme, vous pouvez jeter l'un des dés de dégâts de l'arme une deuxième fois et l'ajouter aux dégâts supplémentaires du coup critique."
  }</v>
      </c>
    </row>
    <row r="48" spans="1:9">
      <c r="A48" s="160" t="s">
        <v>235</v>
      </c>
      <c r="B48" s="161"/>
      <c r="C48" s="266" t="s">
        <v>4030</v>
      </c>
      <c r="D48" s="266"/>
      <c r="E48" s="161"/>
      <c r="F48" s="161">
        <v>-1</v>
      </c>
      <c r="G48" s="161"/>
      <c r="H48" s="250" t="s">
        <v>4031</v>
      </c>
      <c r="I48" t="str">
        <f t="shared" si="0"/>
        <v>"DRAGON_BORN-Souffle":  {
 "Code" : "Souffle",
 "Race" : "DRAGON_BORN",
 "SubRace" : "","UseNumber" : -1,
 "Description" : "Vous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
  }</v>
      </c>
    </row>
    <row r="49" spans="1:9">
      <c r="A49" s="51" t="s">
        <v>235</v>
      </c>
      <c r="B49" s="52"/>
      <c r="C49" s="182" t="s">
        <v>4032</v>
      </c>
      <c r="D49" s="182" t="s">
        <v>2807</v>
      </c>
      <c r="E49" s="52" t="s">
        <v>2807</v>
      </c>
      <c r="F49" s="52"/>
      <c r="G49" s="52"/>
      <c r="H49" s="255" t="s">
        <v>4033</v>
      </c>
      <c r="I49" t="str">
        <f t="shared" si="0"/>
        <v>"DRAGON_BORN-Résistance aux dégâts":  {
 "Code" : "Résistance aux dégâts",
 "Race" : "DRAGON_BORN",
 "SubRace" : "","Stats" : true,"Auto" : true,
 "Description" : "Vous obtenez la résistance au type de dégâts associé à votre ascendance draconique."
  }</v>
      </c>
    </row>
    <row r="50" spans="1:9">
      <c r="A50" s="160" t="s">
        <v>5</v>
      </c>
      <c r="B50" s="161"/>
      <c r="C50" s="266" t="s">
        <v>2528</v>
      </c>
      <c r="D50" s="266"/>
      <c r="E50" s="161"/>
      <c r="F50" s="161">
        <v>-1</v>
      </c>
      <c r="G50" s="161"/>
      <c r="H50" s="250" t="s">
        <v>4034</v>
      </c>
      <c r="I50" t="str">
        <f t="shared" si="0"/>
        <v>"GNOME-Vision dans le noir":  {
 "Code" : "Vision dans le noir",
 "Race" : "GNOME",
 "SubRace" : "","UseNumber" : -1,
 "Description" : "Habitué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51" spans="1:9">
      <c r="A51" s="269" t="s">
        <v>5</v>
      </c>
      <c r="B51" s="270"/>
      <c r="C51" s="275" t="s">
        <v>4035</v>
      </c>
      <c r="D51" s="275" t="s">
        <v>2807</v>
      </c>
      <c r="E51" s="275" t="s">
        <v>2807</v>
      </c>
      <c r="F51" s="270"/>
      <c r="G51" s="270"/>
      <c r="H51" s="271" t="s">
        <v>4036</v>
      </c>
      <c r="I51" t="str">
        <f t="shared" si="0"/>
        <v>"GNOME-Ruse gnome":  {
 "Code" : "Ruse gnome",
 "Race" : "GNOME",
 "SubRace" : "","Stats" : true,"Auto" : true,
 "Description" : "Vous avez un avantage aux jets de sauvegarde d'Intelligence, de Sagesse et de Charisme contre la magie."
  }</v>
      </c>
    </row>
    <row r="52" spans="1:9">
      <c r="A52" s="48"/>
      <c r="B52" s="18" t="s">
        <v>327</v>
      </c>
      <c r="C52" s="55" t="s">
        <v>4037</v>
      </c>
      <c r="D52" s="55"/>
      <c r="E52" s="18"/>
      <c r="F52" s="18">
        <v>-1</v>
      </c>
      <c r="G52" s="18"/>
      <c r="H52" s="251" t="s">
        <v>4038</v>
      </c>
      <c r="I52" t="str">
        <f t="shared" si="0"/>
        <v>"FORESTS_GNOME-Illusionniste-né":  {
 "Code" : "Illusionniste-né",
 "Race" : "",
 "SubRace" : "FORESTS_GNOME","UseNumber" : -1,
 "Description" : "Vous connaissez le sort mineur illusion mineure. L'Intelligence est votre caractéristique d'incantation pour ce sort."
  }</v>
      </c>
    </row>
    <row r="53" spans="1:9">
      <c r="A53" s="269"/>
      <c r="B53" s="270" t="s">
        <v>327</v>
      </c>
      <c r="C53" s="275" t="s">
        <v>4039</v>
      </c>
      <c r="D53" s="275"/>
      <c r="E53" s="270"/>
      <c r="F53" s="270">
        <v>-1</v>
      </c>
      <c r="G53" s="270"/>
      <c r="H53" s="271" t="s">
        <v>4040</v>
      </c>
      <c r="I53" t="str">
        <f t="shared" si="0"/>
        <v>"FORESTS_GNOME-Communication avec les petits animaux":  {
 "Code" : "Communication avec les petits animaux",
 "Race" : "",
 "SubRace" : "FORESTS_GNOME","UseNumber" : -1,
 "Description" : "À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
  }</v>
      </c>
    </row>
    <row r="54" spans="1:9">
      <c r="A54" s="48"/>
      <c r="B54" s="18" t="s">
        <v>330</v>
      </c>
      <c r="C54" s="55" t="s">
        <v>4041</v>
      </c>
      <c r="D54" s="55"/>
      <c r="E54" s="18"/>
      <c r="F54" s="18">
        <v>-1</v>
      </c>
      <c r="G54" s="18"/>
      <c r="H54" s="251" t="s">
        <v>4042</v>
      </c>
      <c r="I54" t="str">
        <f t="shared" si="0"/>
        <v>"ROCKS_GNOME-Connaissance en ingénierie":  {
 "Code" : "Connaissance en ingénierie",
 "Race" : "",
 "SubRace" : "ROCKS_GNOME","UseNumber" : -1,
 "Description" : "Chaque fois que vous effectuez un jet d'Intelligence (Histoire) en relation avec l'alchimie, des objets magiques ou des dispositifs technologiques, ajoutez le double de votre bonus de maîtrise au jet, au lieu du bonus de maîtrise normal."
  }</v>
      </c>
    </row>
    <row r="55" spans="1:9">
      <c r="A55" s="269"/>
      <c r="B55" s="275" t="s">
        <v>330</v>
      </c>
      <c r="C55" s="275" t="s">
        <v>4043</v>
      </c>
      <c r="D55" s="275"/>
      <c r="E55" s="270"/>
      <c r="F55" s="270">
        <v>-1</v>
      </c>
      <c r="G55" s="270"/>
      <c r="H55" s="271" t="s">
        <v>4044</v>
      </c>
      <c r="I55" t="str">
        <f t="shared" si="0"/>
        <v>"ROCKS_GNOME-Bricoleur":  {
 "Code" : "Bricoleur",
 "Race" : "",
 "SubRace" : "ROCKS_GNOME","UseNumber" : -1,
 "Description" : "Vous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
  }</v>
      </c>
    </row>
    <row r="56" spans="1:9">
      <c r="A56" s="48"/>
      <c r="B56" s="55" t="s">
        <v>239</v>
      </c>
      <c r="C56" s="55" t="s">
        <v>3984</v>
      </c>
      <c r="D56" s="55"/>
      <c r="E56" s="18"/>
      <c r="F56" s="18">
        <v>-1</v>
      </c>
      <c r="G56" s="18"/>
      <c r="H56" s="251" t="s">
        <v>4045</v>
      </c>
      <c r="I56" t="str">
        <f t="shared" si="0"/>
        <v>"DEPTH_GNOME-Vision dans le noir supérieure":  {
 "Code" : "Vision dans le noir supérieure",
 "Race" : "",
 "SubRace" : "DEPTH_GNOME","UseNumber" : -1,
 "Description" : "Votre vision dans le noir a une portée de 36 mètres."
  }</v>
      </c>
    </row>
    <row r="57" spans="1:9">
      <c r="A57" s="48"/>
      <c r="B57" s="55" t="s">
        <v>239</v>
      </c>
      <c r="C57" s="55" t="s">
        <v>4035</v>
      </c>
      <c r="D57" s="55" t="s">
        <v>2807</v>
      </c>
      <c r="E57" s="55" t="s">
        <v>2807</v>
      </c>
      <c r="F57" s="18"/>
      <c r="G57" s="18"/>
      <c r="H57" s="251" t="s">
        <v>4046</v>
      </c>
      <c r="I57" t="str">
        <f t="shared" si="0"/>
        <v>"DEPTH_GNOME-Ruse gnome":  {
 "Code" : "Ruse gnome",
 "Race" : "",
 "SubRace" : "DEPTH_GNOME","Stats" : true,"Auto" : true,
 "Description" : "Vous avez l'avantage aux jets de sauvegarde d'Intelligence, de Sagesse et de Charisme contre la magie."
  }</v>
      </c>
    </row>
    <row r="58" spans="1:9">
      <c r="A58" s="48"/>
      <c r="B58" s="55" t="s">
        <v>239</v>
      </c>
      <c r="C58" s="55" t="s">
        <v>4047</v>
      </c>
      <c r="D58" s="55"/>
      <c r="E58" s="18"/>
      <c r="F58" s="18">
        <v>-1</v>
      </c>
      <c r="G58" s="18"/>
      <c r="H58" s="251" t="s">
        <v>4048</v>
      </c>
      <c r="I58" t="str">
        <f t="shared" si="0"/>
        <v>"DEPTH_GNOME-Teint pierreux":  {
 "Code" : "Teint pierreux",
 "Race" : "",
 "SubRace" : "DEPTH_GNOME","UseNumber" : -1,
 "Description" : "Vous avez l'avantage aux jets de Dextérité (Discrétion) pour vous cacher sur un terrain rocheux."
  }</v>
      </c>
    </row>
    <row r="59" spans="1:9">
      <c r="A59" s="160" t="s">
        <v>236</v>
      </c>
      <c r="B59" s="161"/>
      <c r="C59" s="266" t="s">
        <v>2528</v>
      </c>
      <c r="D59" s="266"/>
      <c r="E59" s="161"/>
      <c r="F59" s="161">
        <v>-1</v>
      </c>
      <c r="G59" s="161"/>
      <c r="H59" s="250" t="s">
        <v>4049</v>
      </c>
      <c r="I59" t="str">
        <f t="shared" si="0"/>
        <v>"TIEFFLING-Vision dans le noir":  {
 "Code" : "Vision dans le noir",
 "Race" : "TIEFFLING",
 "SubRace" : "","UseNumber" : -1,
 "Description" : "Grâce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60" spans="1:9">
      <c r="A60" s="48" t="s">
        <v>236</v>
      </c>
      <c r="B60" s="18"/>
      <c r="C60" s="55" t="s">
        <v>4050</v>
      </c>
      <c r="D60" s="55" t="s">
        <v>2807</v>
      </c>
      <c r="E60" s="55" t="s">
        <v>2807</v>
      </c>
      <c r="F60" s="18"/>
      <c r="G60" s="18"/>
      <c r="H60" s="251" t="s">
        <v>3965</v>
      </c>
      <c r="I60" t="str">
        <f t="shared" si="0"/>
        <v>"TIEFFLING-Résistance infernale":  {
 "Code" : "Résistance infernale",
 "Race" : "TIEFFLING",
 "SubRace" : "","Stats" : true,"Auto" : true,
 "Description" : "Vous avez la résistance aux dégâts de feu."
  }</v>
      </c>
    </row>
    <row r="61" spans="1:9">
      <c r="A61" s="269"/>
      <c r="B61" s="270" t="s">
        <v>5943</v>
      </c>
      <c r="C61" s="275" t="s">
        <v>4051</v>
      </c>
      <c r="D61" s="275" t="s">
        <v>2807</v>
      </c>
      <c r="E61" s="270"/>
      <c r="F61" s="270"/>
      <c r="G61" s="270"/>
      <c r="H61" s="271" t="s">
        <v>4052</v>
      </c>
      <c r="I61" t="str">
        <f t="shared" si="0"/>
        <v>"TIEFFLING_0-Ascendance infernale":  {
 "Code" : "Ascendance infernale",
 "Race" : "",
 "SubRace" : "TIEFFLING_0","Stats"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v>
      </c>
    </row>
    <row r="62" spans="1:9">
      <c r="A62" s="351"/>
      <c r="B62" s="286" t="s">
        <v>5837</v>
      </c>
      <c r="C62" s="287" t="s">
        <v>4051</v>
      </c>
      <c r="D62" s="287" t="s">
        <v>2807</v>
      </c>
      <c r="E62" s="286"/>
      <c r="F62" s="286"/>
      <c r="G62" s="286"/>
      <c r="H62" s="334" t="s">
        <v>4052</v>
      </c>
      <c r="I62" t="str">
        <f t="shared" si="0"/>
        <v>"TIEFFLING_ASMODEUS-Ascendance infernale":  {
 "Code" : "Ascendance infernale",
 "Race" : "",
 "SubRace" : "TIEFFLING_ASMODEUS","Stats"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v>
      </c>
    </row>
    <row r="63" spans="1:9">
      <c r="A63" s="351"/>
      <c r="B63" s="352" t="s">
        <v>5840</v>
      </c>
      <c r="C63" s="287" t="s">
        <v>5864</v>
      </c>
      <c r="D63" s="287" t="s">
        <v>2807</v>
      </c>
      <c r="E63" s="286" t="s">
        <v>2807</v>
      </c>
      <c r="F63" s="286">
        <v>1</v>
      </c>
      <c r="G63" s="286"/>
      <c r="H63" s="334" t="s">
        <v>5865</v>
      </c>
      <c r="I63" t="str">
        <f t="shared" si="0"/>
        <v>"TIEFFLING_BEELZEBUB-Ascendance de Maladomini":  {
 "Code" : "Ascendance de Maladomini",
 "Race" : "",
 "SubRace" : "TIEFFLING_BEELZEBUB","Stats" : true,"Auto" : true,"UseNumber" : 1,
 "Description" : "Vous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
  }</v>
      </c>
    </row>
    <row r="64" spans="1:9">
      <c r="A64" s="351"/>
      <c r="B64" s="352" t="s">
        <v>5843</v>
      </c>
      <c r="C64" s="287" t="s">
        <v>5868</v>
      </c>
      <c r="D64" s="287" t="s">
        <v>2807</v>
      </c>
      <c r="E64" s="286" t="s">
        <v>2807</v>
      </c>
      <c r="F64" s="286">
        <v>1</v>
      </c>
      <c r="G64" s="286"/>
      <c r="H64" s="334" t="s">
        <v>5869</v>
      </c>
      <c r="I64" t="str">
        <f t="shared" si="0"/>
        <v>"TIEFFLING_DISPAT-Ascendance de Dis":  {
 "Code" : "Ascendance de Dis",
 "Race" : "",
 "SubRace" : "TIEFFLING_DISPAT","Stats" : true,"Auto" : true,"UseNumber" : 1,
 "Description" : "Vous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v>
      </c>
    </row>
    <row r="65" spans="1:9">
      <c r="A65" s="48"/>
      <c r="B65" s="348" t="s">
        <v>5843</v>
      </c>
      <c r="C65" s="55" t="s">
        <v>5882</v>
      </c>
      <c r="D65" s="55"/>
      <c r="E65" s="18"/>
      <c r="F65" s="55">
        <v>-1</v>
      </c>
      <c r="G65" s="18"/>
      <c r="H65" s="251" t="s">
        <v>5883</v>
      </c>
      <c r="I65" t="str">
        <f t="shared" si="0"/>
        <v>"TIEFFLING_DISPAT-Perspicacité infernale":  {
 "Code" : "Perspicacité infernale",
 "Race" : "",
 "SubRace" : "TIEFFLING_DISPAT","UseNumber" : -1,
 "Description" : "(Recharge après un repos court ou long). En tant qu'action bonus, la créature gagne un avantage pour ses jets de caractéristique et ses jets d'attaque effectués jusqu'à la fin du tour en cours."
  }</v>
      </c>
    </row>
    <row r="66" spans="1:9">
      <c r="A66" s="351"/>
      <c r="B66" s="352" t="s">
        <v>5846</v>
      </c>
      <c r="C66" s="287" t="s">
        <v>5870</v>
      </c>
      <c r="D66" s="287" t="s">
        <v>2807</v>
      </c>
      <c r="E66" s="286" t="s">
        <v>2807</v>
      </c>
      <c r="F66" s="286">
        <v>1</v>
      </c>
      <c r="G66" s="286"/>
      <c r="H66" s="334" t="s">
        <v>5871</v>
      </c>
      <c r="I66" t="str">
        <f t="shared" si="0"/>
        <v>"TIEFFLING_FIERNA-Ascendance de Phlegethos":  {
 "Code" : "Ascendance de Phlegethos",
 "Race" : "",
 "SubRace" : "TIEFFLING_FIERNA","Stats" : true,"Auto" : true,"UseNumber" : 1,
 "Description" : "Vous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
  }</v>
      </c>
    </row>
    <row r="67" spans="1:9">
      <c r="A67" s="351"/>
      <c r="B67" s="352" t="s">
        <v>5849</v>
      </c>
      <c r="C67" s="287" t="s">
        <v>5872</v>
      </c>
      <c r="D67" s="287" t="s">
        <v>2807</v>
      </c>
      <c r="E67" s="286" t="s">
        <v>2807</v>
      </c>
      <c r="F67" s="286">
        <v>1</v>
      </c>
      <c r="G67" s="286"/>
      <c r="H67" s="334" t="s">
        <v>5873</v>
      </c>
      <c r="I67" t="str">
        <f t="shared" si="0"/>
        <v>"TIEFFLING_GLASYA-Ascendance de Malbolge":  {
 "Code" : "Ascendance de Malbolge",
 "Race" : "",
 "SubRace" : "TIEFFLING_GLASYA","Stats" : true,"Auto" : true,"UseNumber" : 1,
 "Description" : "Vous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v>
      </c>
    </row>
    <row r="68" spans="1:9">
      <c r="A68" s="351"/>
      <c r="B68" s="352" t="s">
        <v>5852</v>
      </c>
      <c r="C68" s="287" t="s">
        <v>5874</v>
      </c>
      <c r="D68" s="287" t="s">
        <v>2807</v>
      </c>
      <c r="E68" s="286" t="s">
        <v>2807</v>
      </c>
      <c r="F68" s="286">
        <v>1</v>
      </c>
      <c r="G68" s="286"/>
      <c r="H68" s="334" t="s">
        <v>5875</v>
      </c>
      <c r="I68" t="str">
        <f t="shared" si="0"/>
        <v>"TIEFFLING_LEVISTUS-Ascendance de Stygia":  {
 "Code" : "Ascendance de Stygia",
 "Race" : "",
 "SubRace" : "TIEFFLING_LEVISTUS","Stats" : true,"Auto" : true,"UseNumber" : 1,
 "Description" : "Vous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
  }</v>
      </c>
    </row>
    <row r="69" spans="1:9">
      <c r="A69" s="351"/>
      <c r="B69" s="352" t="s">
        <v>5855</v>
      </c>
      <c r="C69" s="287" t="s">
        <v>5876</v>
      </c>
      <c r="D69" s="287" t="s">
        <v>2807</v>
      </c>
      <c r="E69" s="286" t="s">
        <v>2807</v>
      </c>
      <c r="F69" s="286">
        <v>1</v>
      </c>
      <c r="G69" s="286"/>
      <c r="H69" s="334" t="s">
        <v>5877</v>
      </c>
      <c r="I69" t="str">
        <f t="shared" si="0"/>
        <v>"TIEFFLING_MAMMON-Ascendance de Minauros":  {
 "Code" : "Ascendance de Minauros",
 "Race" : "",
 "SubRace" : "TIEFFLING_MAMMON","Stats" : true,"Auto" : true,"UseNumber" : 1,
 "Description" : "Vous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
  }</v>
      </c>
    </row>
    <row r="70" spans="1:9">
      <c r="A70" s="289"/>
      <c r="B70" s="349" t="s">
        <v>5858</v>
      </c>
      <c r="C70" s="290" t="s">
        <v>5878</v>
      </c>
      <c r="D70" s="290" t="s">
        <v>2807</v>
      </c>
      <c r="E70" s="291" t="s">
        <v>2807</v>
      </c>
      <c r="F70" s="291">
        <v>1</v>
      </c>
      <c r="G70" s="291"/>
      <c r="H70" s="350" t="s">
        <v>5879</v>
      </c>
      <c r="I70" t="str">
        <f t="shared" si="0"/>
        <v>"TIEFFLING_MEPHISTOPHELES-Ascendance de Cania":  {
 "Code" : "Ascendance de Cania",
 "Race" : "",
 "SubRace" : "TIEFFLING_MEPHISTOPHELES","Stats" : true,"Auto" : true,"UseNumber" : 1,
 "Description" : "Vous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
  }</v>
      </c>
    </row>
    <row r="71" spans="1:9">
      <c r="A71" s="48"/>
      <c r="B71" s="348" t="s">
        <v>5861</v>
      </c>
      <c r="C71" s="55" t="s">
        <v>5880</v>
      </c>
      <c r="D71" s="55" t="s">
        <v>2807</v>
      </c>
      <c r="E71" s="18" t="s">
        <v>2807</v>
      </c>
      <c r="F71" s="18">
        <v>1</v>
      </c>
      <c r="G71" s="18"/>
      <c r="H71" s="251" t="s">
        <v>5881</v>
      </c>
      <c r="I71" t="str">
        <f t="shared" si="0"/>
        <v>"TIEFFLING_ZARIEL-Ascendance d'Avernus":  {
 "Code" : "Ascendance d'Avernus",
 "Race" : "",
 "SubRace" : "TIEFFLING_ZARIEL","Stats" : true,"Auto" : true,"UseNumber" : 1,
 "Description" : "Vous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
  }</v>
      </c>
    </row>
    <row r="72" spans="1:9">
      <c r="A72" s="160" t="s">
        <v>237</v>
      </c>
      <c r="B72" s="161"/>
      <c r="C72" s="266" t="s">
        <v>2537</v>
      </c>
      <c r="D72" s="266"/>
      <c r="E72" s="161"/>
      <c r="F72" s="161">
        <v>-1</v>
      </c>
      <c r="G72" s="161"/>
      <c r="H72" s="250" t="s">
        <v>4053</v>
      </c>
      <c r="I72" t="str">
        <f t="shared" si="0"/>
        <v>"AARAKOCRA-Vol":  {
 "Code" : "Vol",
 "Race" : "AARAKOCRA",
 "SubRace" : "","UseNumber" : -1,
 "Description" : "Vous avez une vitesse de vol de 15 mètres par round. Pour utiliser cette vitesse, vous ne devez par porter d'armure moyenne ou lourde."
  }</v>
      </c>
    </row>
    <row r="73" spans="1:9">
      <c r="A73" s="51" t="s">
        <v>237</v>
      </c>
      <c r="B73" s="52"/>
      <c r="C73" s="182" t="s">
        <v>4054</v>
      </c>
      <c r="D73" s="182"/>
      <c r="E73" s="52"/>
      <c r="F73" s="52">
        <v>-1</v>
      </c>
      <c r="G73" s="52"/>
      <c r="H73" s="255" t="s">
        <v>4055</v>
      </c>
      <c r="I73" t="str">
        <f t="shared" si="0"/>
        <v>"AARAKOCRA-Serre":  {
 "Code" : "Serre",
 "Race" : "AARAKOCRA",
 "SubRace" : "","UseNumber" : -1,
 "Description" : "Vous maîtrisez vos armes naturelles, lesquelles infligent 1d4 de dégâts tranchants."
  }</v>
      </c>
    </row>
    <row r="74" spans="1:9">
      <c r="A74" s="48" t="s">
        <v>240</v>
      </c>
      <c r="B74" s="18"/>
      <c r="C74" s="55" t="s">
        <v>4056</v>
      </c>
      <c r="D74" s="55" t="s">
        <v>2807</v>
      </c>
      <c r="E74" s="18"/>
      <c r="F74" s="18"/>
      <c r="G74" s="18"/>
      <c r="H74" s="251" t="s">
        <v>4057</v>
      </c>
      <c r="I74" t="str">
        <f t="shared" si="0"/>
        <v>"GOLIATH-Athlète naturel":  {
 "Code" : "Athlète naturel",
 "Race" : "GOLIATH",
 "SubRace" : "","Stats" : true,
 "Description" : "Vous maîtrisez la compétence Athlétisme."
  }</v>
      </c>
    </row>
    <row r="75" spans="1:9">
      <c r="A75" s="48" t="s">
        <v>240</v>
      </c>
      <c r="B75" s="18"/>
      <c r="C75" s="55" t="s">
        <v>4058</v>
      </c>
      <c r="D75" s="55"/>
      <c r="E75" s="18"/>
      <c r="F75" s="18">
        <v>-1</v>
      </c>
      <c r="G75" s="18"/>
      <c r="H75" s="251" t="s">
        <v>4059</v>
      </c>
      <c r="I75" t="str">
        <f t="shared" si="0"/>
        <v>"GOLIATH-Endurance de la pierre":  {
 "Code" : "Endurance de la pierre",
 "Race" : "GOLIATH",
 "SubRace" : "","UseNumber" : -1,
 "Description" : "Vous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
  }</v>
      </c>
    </row>
    <row r="76" spans="1:9">
      <c r="A76" s="48" t="s">
        <v>240</v>
      </c>
      <c r="B76" s="18"/>
      <c r="C76" s="55" t="s">
        <v>4060</v>
      </c>
      <c r="D76" s="55"/>
      <c r="E76" s="18"/>
      <c r="F76" s="18">
        <v>-1</v>
      </c>
      <c r="G76" s="18"/>
      <c r="H76" s="251" t="s">
        <v>4061</v>
      </c>
      <c r="I76" t="str">
        <f t="shared" si="0"/>
        <v>"GOLIATH-Puissamment bâtit":  {
 "Code" : "Puissamment bâtit",
 "Race" : "GOLIATH",
 "SubRace" : "","UseNumber" : -1,
 "Description" : "Vous comptez comme étant plus grand d'une taille pour déterminer votre capacité de charge et le poids que vous pouvez pousser, traîner ou soulever."
  }</v>
      </c>
    </row>
    <row r="77" spans="1:9">
      <c r="A77" s="179" t="s">
        <v>240</v>
      </c>
      <c r="B77" s="52"/>
      <c r="C77" s="52" t="s">
        <v>4063</v>
      </c>
      <c r="D77" s="52"/>
      <c r="E77" s="52"/>
      <c r="F77" s="52">
        <v>-1</v>
      </c>
      <c r="G77" s="52"/>
      <c r="H77" s="255" t="s">
        <v>4062</v>
      </c>
      <c r="I77" t="str">
        <f t="shared" si="0"/>
        <v>"GOLIATH-Montagnard":  {
 "Code" : "Montagnard",
 "Race" : "GOLIATH",
 "SubRace" : "","UseNumber" : -1,
 "Description" : "Vous êtes habitué aux hautes altitudes, y compris des altitudes supérieures à 6000 mètres. Vous êtes aussi naturellement habitué aux climats froids, comme décrit dans le chapitre 5 du Guide du Maître."
  }</v>
      </c>
    </row>
    <row r="78" spans="1:9">
      <c r="A78" s="160" t="s">
        <v>5669</v>
      </c>
      <c r="B78" s="161"/>
      <c r="C78" s="266" t="s">
        <v>5742</v>
      </c>
      <c r="D78" s="266"/>
      <c r="E78" s="161"/>
      <c r="F78" s="266">
        <v>-1</v>
      </c>
      <c r="G78" s="161"/>
      <c r="H78" s="250" t="s">
        <v>5743</v>
      </c>
      <c r="I78" t="str">
        <f t="shared" si="0"/>
        <v>"CHANGELIN-Changement d'apparence":  {
 "Code" : "Changement d'apparence",
 "Race" : "CHANGELIN",
 "SubRace" : "","UseNumber" : -1,
 "Description" : "Par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
  }</v>
      </c>
    </row>
    <row r="79" spans="1:9">
      <c r="A79" s="48" t="s">
        <v>5669</v>
      </c>
      <c r="B79" s="18"/>
      <c r="C79" s="55" t="s">
        <v>5744</v>
      </c>
      <c r="D79" s="55" t="s">
        <v>2807</v>
      </c>
      <c r="E79" s="18"/>
      <c r="F79" s="18"/>
      <c r="G79" s="18"/>
      <c r="H79" s="251" t="s">
        <v>5745</v>
      </c>
      <c r="I79" t="str">
        <f t="shared" si="0"/>
        <v>"CHANGELIN-Instincts de changelin":  {
 "Code" : "Instincts de changelin",
 "Race" : "CHANGELIN",
 "SubRace" : "","Stats" : true,
 "Description" : "Vous gagnez la maîtrise de deux des compétences suivantes de votre choix : Intimidation, Perspicacité, Persuasion ou Tromperie."
  }</v>
      </c>
    </row>
    <row r="80" spans="1:9">
      <c r="A80" s="48" t="s">
        <v>5669</v>
      </c>
      <c r="B80" s="18"/>
      <c r="C80" s="55" t="s">
        <v>5746</v>
      </c>
      <c r="D80" s="55"/>
      <c r="E80" s="18"/>
      <c r="F80" s="18">
        <v>1</v>
      </c>
      <c r="G80" s="18"/>
      <c r="H80" s="251" t="s">
        <v>5747</v>
      </c>
      <c r="I80" t="str">
        <f t="shared" si="0"/>
        <v>"CHANGELIN-Visage dérangeant":  {
 "Code" : "Visage dérangeant",
 "Race" : "CHANGELIN",
 "SubRace" : "","UseNumber" : 1,
 "Description" : "Quand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
  }</v>
      </c>
    </row>
    <row r="81" spans="1:9">
      <c r="A81" s="51" t="s">
        <v>5669</v>
      </c>
      <c r="B81" s="52"/>
      <c r="C81" s="182" t="s">
        <v>5748</v>
      </c>
      <c r="D81" s="182"/>
      <c r="E81" s="52"/>
      <c r="F81" s="182">
        <v>-1</v>
      </c>
      <c r="G81" s="52"/>
      <c r="H81" s="255" t="s">
        <v>5749</v>
      </c>
      <c r="I81" t="str">
        <f t="shared" si="0"/>
        <v>"CHANGELIN-Personnage divergent":  {
 "Code" : "Personnage divergent",
 "Race" : "CHANGELIN",
 "SubRace" : "","UseNumber" : -1,
 "Description" : "Vous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
  }</v>
      </c>
    </row>
    <row r="82" spans="1:9">
      <c r="A82" s="160" t="s">
        <v>5687</v>
      </c>
      <c r="B82" s="161"/>
      <c r="C82" s="266" t="s">
        <v>5750</v>
      </c>
      <c r="D82" s="266"/>
      <c r="E82" s="161"/>
      <c r="F82" s="266">
        <v>-1</v>
      </c>
      <c r="G82" s="161"/>
      <c r="H82" s="250" t="s">
        <v>5751</v>
      </c>
      <c r="I82" t="str">
        <f t="shared" si="0"/>
        <v>"KALASHTAR-Dualité":  {
 "Code" : "Dualité",
 "Race" : "KALASHTAR",
 "SubRace" : "","UseNumber" : -1,
 "Description" : "Lorsque vous effectuez un jet de sauvegarde de Sagesse, vous pouvez utiliser votre réaction pour obtenir un avantage sur le jet. Vous pouvez utiliser ce trait immédiatement avant ou après avoir lancé les dés, mais avant que les effets du jet ne se produisent."
  }</v>
      </c>
    </row>
    <row r="83" spans="1:9">
      <c r="A83" s="48" t="s">
        <v>5687</v>
      </c>
      <c r="B83" s="18"/>
      <c r="C83" s="55" t="s">
        <v>5752</v>
      </c>
      <c r="D83" s="55" t="s">
        <v>2807</v>
      </c>
      <c r="E83" s="18"/>
      <c r="F83" s="18"/>
      <c r="G83" s="18"/>
      <c r="H83" s="251" t="s">
        <v>5753</v>
      </c>
      <c r="I83" t="str">
        <f t="shared" ref="I83:I103" si="1">""""&amp;A83&amp;B83&amp;"-"&amp;C83&amp;""":  {
 ""Code"" : """&amp;C83&amp;""",
 ""Race"" : """&amp;A83&amp;""",
 ""SubRace"" : """&amp;B83&amp;""","
 &amp;IF(ISBLANK(D83),"", """Stats"" : "&amp;D83&amp;",")
 &amp;IF(ISBLANK(E83),"", """Auto"" : "&amp;E83&amp;",")
 &amp;IF(ISBLANK(F83),"", """UseNumber"" : "&amp;F83&amp;",")
 &amp;IF(ISBLANK(G83),"", """RequiredLevel"" : "&amp;G83&amp;",")&amp;"
 ""Description"" : """&amp;SUBSTITUTE(H83,CHAR(10)," ")&amp;"""
  }"</f>
        <v>"KALASHTAR-Discipline mental":  {
 "Code" : "Discipline mental",
 "Race" : "KALASHTAR",
 "SubRace" : "","Stats" : true,
 "Description" : "Vous avez la résistance aux dégâts psychiques."
  }</v>
      </c>
    </row>
    <row r="84" spans="1:9">
      <c r="A84" s="48" t="s">
        <v>5687</v>
      </c>
      <c r="B84" s="18"/>
      <c r="C84" s="55" t="s">
        <v>5754</v>
      </c>
      <c r="D84" s="55"/>
      <c r="E84" s="18"/>
      <c r="F84" s="55">
        <v>-1</v>
      </c>
      <c r="G84" s="18"/>
      <c r="H84" s="251" t="s">
        <v>5755</v>
      </c>
      <c r="I84" t="str">
        <f t="shared" si="1"/>
        <v>"KALASHTAR-Lien de l'esprit":  {
 "Code" : "Lien de l'esprit",
 "Race" : "KALASHTAR",
 "SubRace" : "","UseNumber" : -1,
 "Description" : "Vous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moins de vous et être capable de vous voir."
  }</v>
      </c>
    </row>
    <row r="85" spans="1:9">
      <c r="A85" s="48" t="s">
        <v>5687</v>
      </c>
      <c r="B85" s="18"/>
      <c r="C85" s="55" t="s">
        <v>5756</v>
      </c>
      <c r="D85" s="55" t="s">
        <v>2807</v>
      </c>
      <c r="E85" s="18"/>
      <c r="F85" s="18"/>
      <c r="G85" s="18"/>
      <c r="H85" s="251" t="s">
        <v>5757</v>
      </c>
      <c r="I85" t="str">
        <f t="shared" si="1"/>
        <v>"KALASHTAR-Glamour psychique":  {
 "Code" : "Glamour psychique",
 "Race" : "KALASHTAR",
 "SubRace" : "","Stats" : true,
 "Description" : "Choisissez l'une des compétences suivantes : Perspicacité, Intimidation, Représentation ou Persuasion. Vous avez un avantage à tous vos jets de caractéristiques faits avec cette compétence."
  }</v>
      </c>
    </row>
    <row r="86" spans="1:9">
      <c r="A86" s="51" t="s">
        <v>5687</v>
      </c>
      <c r="B86" s="52"/>
      <c r="C86" s="182" t="s">
        <v>5758</v>
      </c>
      <c r="D86" s="182"/>
      <c r="E86" s="52"/>
      <c r="F86" s="182">
        <v>-1</v>
      </c>
      <c r="G86" s="52"/>
      <c r="H86" s="255" t="s">
        <v>5759</v>
      </c>
      <c r="I86" t="str">
        <f t="shared" si="1"/>
        <v>"KALASHTAR-Séparé des rêves":  {
 "Code" : "Séparé des rêves",
 "Race" : "KALASHTAR",
 "SubRace" : "","UseNumber" : -1,
 "Description" : "Les kalashtars dorment mais ne se connectent pas au plan des rêves comme les autres créatures. Au lieu de cela, leur esprit puise dans les souvenirs de leur esprit d'un autre monde pendant leur sommeil. En tant que tel, vous êtes immunisé contre les sorts et autres effets magiques qui vous obligent à rêver, comme le sort rêve, mais pas aux sorts et aux effets qui vous endorment, comme le sort de sommeil."
  }</v>
      </c>
    </row>
    <row r="87" spans="1:9">
      <c r="A87" s="160" t="s">
        <v>5673</v>
      </c>
      <c r="B87" s="161"/>
      <c r="C87" s="266" t="s">
        <v>2528</v>
      </c>
      <c r="D87" s="266"/>
      <c r="E87" s="161"/>
      <c r="F87" s="266">
        <v>-1</v>
      </c>
      <c r="G87" s="161"/>
      <c r="H87" s="250" t="s">
        <v>5760</v>
      </c>
      <c r="I87" t="str">
        <f t="shared" si="1"/>
        <v>"FERAL-Vision dans le noir":  {
 "Code" : "Vision dans le noir",
 "Race" : "FERAL",
 "SubRace" : "","UseNumber" : -1,
 "Description" : "Vous pouvez voir avec une lumière faible jusqu'à 18 mètres comme vous verriez avec une lumière vive, et dans le noir comme vous verriez avec une lumière faible. Dans le noir, vous ne discernez pas les couleurs, uniquement des nuances de gris."
  }</v>
      </c>
    </row>
    <row r="88" spans="1:9">
      <c r="A88" s="48" t="s">
        <v>5673</v>
      </c>
      <c r="B88" s="18"/>
      <c r="C88" s="55" t="s">
        <v>3976</v>
      </c>
      <c r="D88" s="55" t="s">
        <v>2807</v>
      </c>
      <c r="E88" s="18" t="s">
        <v>2807</v>
      </c>
      <c r="F88" s="18"/>
      <c r="G88" s="18"/>
      <c r="H88" s="251" t="s">
        <v>3977</v>
      </c>
      <c r="I88" t="str">
        <f t="shared" si="1"/>
        <v>"FERAL-Sens aiguisés":  {
 "Code" : "Sens aiguisés",
 "Race" : "FERAL",
 "SubRace" : "","Stats" : true,"Auto" : true,
 "Description" : "Vous maîtrisez la compétence Perception."
  }</v>
      </c>
    </row>
    <row r="89" spans="1:9">
      <c r="A89" s="353" t="s">
        <v>5673</v>
      </c>
      <c r="B89" s="354"/>
      <c r="C89" s="355" t="s">
        <v>5761</v>
      </c>
      <c r="D89" s="355"/>
      <c r="E89" s="354"/>
      <c r="F89" s="355">
        <v>1</v>
      </c>
      <c r="G89" s="354"/>
      <c r="H89" s="356" t="s">
        <v>5762</v>
      </c>
      <c r="I89" t="str">
        <f t="shared" si="1"/>
        <v>"FERAL-Changement":  {
 "Code" : "Changement",
 "Race" : "FERAL",
 "SubRace" : "","UseNumber" : 1,
 "Description" : "Par une action bonus, vous pouvez prendre une apparence plus bestiale. La transformation dure 1 minute, jusqu'à ce que vous mouriez, ou jusqu'à ce que vous reveniez à votre apparence normale par une action bonus. Pendant le changement, vous gagnez des points de vie temporaires égaux à votre niveau + votre bonus de Constitution (minimum 1 pv temporaire). Vous gagnez aussi des caractéristiques qui dépendent de votre sous-race de féral. Vous devez terminer un repos court ou long avant de pouvoir utiliser à nouveau la capacité de Changement."
  }</v>
      </c>
    </row>
    <row r="90" spans="1:9">
      <c r="A90" s="364"/>
      <c r="B90" s="358" t="s">
        <v>5908</v>
      </c>
      <c r="C90" s="358" t="s">
        <v>5940</v>
      </c>
      <c r="D90" s="358" t="s">
        <v>2807</v>
      </c>
      <c r="E90" s="357" t="s">
        <v>2807</v>
      </c>
      <c r="F90" s="357"/>
      <c r="G90" s="357"/>
      <c r="H90" s="362" t="s">
        <v>4057</v>
      </c>
      <c r="I90" t="str">
        <f t="shared" si="1"/>
        <v>"FERAL_ANIMAL_SKIN-Robuste":  {
 "Code" : "Robuste",
 "Race" : "",
 "SubRace" : "FERAL_ANIMAL_SKIN","Stats" : true,"Auto" : true,
 "Description" : "Vous maîtrisez la compétence Athlétisme."
  }</v>
      </c>
    </row>
    <row r="91" spans="1:9">
      <c r="A91" s="353"/>
      <c r="B91" s="55" t="s">
        <v>5908</v>
      </c>
      <c r="C91" s="355" t="s">
        <v>5942</v>
      </c>
      <c r="D91" s="355"/>
      <c r="E91" s="354"/>
      <c r="F91" s="354">
        <v>1</v>
      </c>
      <c r="G91" s="354"/>
      <c r="H91" s="356" t="s">
        <v>5939</v>
      </c>
      <c r="I91" t="str">
        <f t="shared" si="1"/>
        <v>"FERAL_ANIMAL_SKIN-Capacité de changement":  {
 "Code" : "Capacité de changement",
 "Race" : "",
 "SubRace" : "FERAL_ANIMAL_SKIN","UseNumber" : 1,
 "Description" : "Lors de votre changement, vous gagnez 1d6 points de vie temporaires additionnels et un bonus de +1 a la CA."
  }</v>
      </c>
    </row>
    <row r="92" spans="1:9">
      <c r="A92" s="364"/>
      <c r="B92" s="55" t="s">
        <v>5909</v>
      </c>
      <c r="C92" s="358" t="s">
        <v>5937</v>
      </c>
      <c r="D92" s="358" t="s">
        <v>2807</v>
      </c>
      <c r="E92" s="357" t="s">
        <v>2807</v>
      </c>
      <c r="F92" s="357"/>
      <c r="G92" s="357"/>
      <c r="H92" s="362" t="s">
        <v>5938</v>
      </c>
      <c r="I92" t="str">
        <f t="shared" si="1"/>
        <v>"FERAL_LONG_TEETH-Furieux":  {
 "Code" : "Furieux",
 "Race" : "",
 "SubRace" : "FERAL_LONG_TEETH","Stats" : true,"Auto" : true,
 "Description" : "Vous maîtrisez la compétence Intimidation."
  }</v>
      </c>
    </row>
    <row r="93" spans="1:9">
      <c r="A93" s="354"/>
      <c r="B93" s="55" t="s">
        <v>5909</v>
      </c>
      <c r="C93" s="355" t="s">
        <v>5942</v>
      </c>
      <c r="D93" s="355"/>
      <c r="E93" s="354"/>
      <c r="F93" s="354">
        <v>1</v>
      </c>
      <c r="G93" s="354"/>
      <c r="H93" s="356" t="s">
        <v>5936</v>
      </c>
      <c r="I93" t="str">
        <f t="shared" si="1"/>
        <v>"FERAL_LONG_TEETH-Capacité de changement":  {
 "Code" : "Capacité de changement",
 "Race" : "",
 "SubRace" : "FERAL_LONG_TEETH","UseNumber"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v>
      </c>
    </row>
    <row r="94" spans="1:9">
      <c r="A94" s="357"/>
      <c r="B94" s="55" t="s">
        <v>5910</v>
      </c>
      <c r="C94" s="358" t="s">
        <v>5935</v>
      </c>
      <c r="D94" s="358" t="s">
        <v>2807</v>
      </c>
      <c r="E94" s="357" t="s">
        <v>2807</v>
      </c>
      <c r="F94" s="357"/>
      <c r="G94" s="357"/>
      <c r="H94" s="362" t="s">
        <v>5945</v>
      </c>
      <c r="I94" t="str">
        <f t="shared" si="1"/>
        <v>"FERAL_LONG_STRIDE-Gracieux":  {
 "Code" : "Gracieux",
 "Race" : "",
 "SubRace" : "FERAL_LONG_STRIDE","Stats" : true,"Auto" : true,
 "Description" : "Vous maîtrisez la compétence Acrobatie."
  }</v>
      </c>
    </row>
    <row r="95" spans="1:9">
      <c r="A95" s="18"/>
      <c r="B95" s="55" t="s">
        <v>5910</v>
      </c>
      <c r="C95" s="55" t="s">
        <v>5933</v>
      </c>
      <c r="D95" s="55" t="s">
        <v>2807</v>
      </c>
      <c r="E95" s="55" t="s">
        <v>2807</v>
      </c>
      <c r="F95" s="18"/>
      <c r="G95" s="18"/>
      <c r="H95" s="251" t="s">
        <v>5934</v>
      </c>
      <c r="I95" t="str">
        <f t="shared" si="1"/>
        <v>"FERAL_LONG_STRIDE-Foulée rapide":  {
 "Code" : "Foulée rapide",
 "Race" : "",
 "SubRace" : "FERAL_LONG_STRIDE","Stats" : true,"Auto" : true,
 "Description" : "Votre vitesse de marche augmente de 1,50 mètre."
  }</v>
      </c>
    </row>
    <row r="96" spans="1:9">
      <c r="A96" s="359"/>
      <c r="B96" s="55" t="s">
        <v>5910</v>
      </c>
      <c r="C96" s="355" t="s">
        <v>5942</v>
      </c>
      <c r="D96" s="355"/>
      <c r="E96" s="354"/>
      <c r="F96" s="354">
        <v>1</v>
      </c>
      <c r="G96" s="354"/>
      <c r="H96" s="356" t="s">
        <v>5932</v>
      </c>
      <c r="I96" t="str">
        <f t="shared" si="1"/>
        <v>"FERAL_LONG_STRIDE-Capacité de changement":  {
 "Code" : "Capacité de changement",
 "Race" : "",
 "SubRace" : "FERAL_LONG_STRIDE","UseNumber"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v>
      </c>
    </row>
    <row r="97" spans="1:9">
      <c r="A97" s="18"/>
      <c r="B97" s="55" t="s">
        <v>5911</v>
      </c>
      <c r="C97" s="55" t="s">
        <v>5926</v>
      </c>
      <c r="D97" s="55" t="s">
        <v>2807</v>
      </c>
      <c r="E97" s="55" t="s">
        <v>2807</v>
      </c>
      <c r="F97" s="18"/>
      <c r="G97" s="18"/>
      <c r="H97" s="251" t="s">
        <v>5927</v>
      </c>
      <c r="I97" t="str">
        <f t="shared" si="1"/>
        <v>"FERAL_WILD_HUNT-Traqueur inné":  {
 "Code" : "Traqueur inné",
 "Race" : "",
 "SubRace" : "FERAL_WILD_HUNT","Stats" : true,"Auto" : true,
 "Description" : "Vous maîtrisez la compétence Survie."
  }</v>
      </c>
    </row>
    <row r="98" spans="1:9">
      <c r="A98" s="18"/>
      <c r="B98" s="55" t="s">
        <v>5911</v>
      </c>
      <c r="C98" s="55" t="s">
        <v>5928</v>
      </c>
      <c r="D98" s="55"/>
      <c r="E98" s="18"/>
      <c r="F98" s="18">
        <v>1</v>
      </c>
      <c r="G98" s="18"/>
      <c r="H98" s="251" t="s">
        <v>5929</v>
      </c>
      <c r="I98" t="str">
        <f t="shared" si="1"/>
        <v>"FERAL_WILD_HUNT-Fixer le parfum":  {
 "Code" : "Fixer le parfum",
 "Race" : "",
 "SubRace" : "FERAL_WILD_HUNT","UseNumber"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v>
      </c>
    </row>
    <row r="99" spans="1:9">
      <c r="A99" s="51"/>
      <c r="B99" s="55" t="s">
        <v>5911</v>
      </c>
      <c r="C99" s="182" t="s">
        <v>5942</v>
      </c>
      <c r="D99" s="182"/>
      <c r="E99" s="52"/>
      <c r="F99" s="182">
        <v>1</v>
      </c>
      <c r="G99" s="52"/>
      <c r="H99" s="255" t="s">
        <v>5931</v>
      </c>
      <c r="I99" t="str">
        <f t="shared" si="1"/>
        <v>"FERAL_WILD_HUNT-Capacité de changement":  {
 "Code" : "Capacité de changement",
 "Race" : "",
 "SubRace" : "FERAL_WILD_HUNT","UseNumber" : 1,
 "Description" : "Pendant votre changement, vous gagnez un avantage aux jets de Sagesse."
  }</v>
      </c>
    </row>
    <row r="100" spans="1:9">
      <c r="A100" s="160" t="s">
        <v>5740</v>
      </c>
      <c r="B100" s="161"/>
      <c r="C100" s="266" t="s">
        <v>5763</v>
      </c>
      <c r="D100" s="266" t="s">
        <v>2807</v>
      </c>
      <c r="E100" s="161"/>
      <c r="F100" s="266"/>
      <c r="G100" s="161"/>
      <c r="H100" s="250" t="s">
        <v>5764</v>
      </c>
      <c r="I100" t="str">
        <f t="shared" si="1"/>
        <v>"WARFORGED-Résistance des forgeliers":  {
 "Code" : "Résistance des forgeliers",
 "Race" : "WARFORGED",
 "SubRace" : "","Stats" : true,
 "Description" : "Vous avez été créé pour avoir une force étonnante, qui est représentée par les avantages suivants :  Vous avez un avantage aux jets de sauvegarde contre la condition empoisonné et la résistance aux dégâts de poison. Vous n'avez pas besoin de manger, ni de boire ni de respirer. Vous êtes immunisé contre les maladies. Vous n'avez pas besoin de dormir et la magie ne peut pas vous endormir."
  }</v>
      </c>
    </row>
    <row r="101" spans="1:9">
      <c r="A101" s="48" t="s">
        <v>5740</v>
      </c>
      <c r="B101" s="18"/>
      <c r="C101" s="55" t="s">
        <v>5765</v>
      </c>
      <c r="D101" s="55"/>
      <c r="E101" s="18"/>
      <c r="F101" s="55">
        <v>-1</v>
      </c>
      <c r="G101" s="18"/>
      <c r="H101" s="251" t="s">
        <v>5766</v>
      </c>
      <c r="I101" t="str">
        <f t="shared" si="1"/>
        <v>"WARFORGED-Repos de la sentinelle":  {
 "Code" : "Repos de la sentinelle",
 "Race" : "WARFORGED",
 "SubRace" : "","UseNumber" : -1,
 "Description" : "Lorsque vous prenez un repos long, vous devez passer au moins six heures dans un état inactif et immobile plutôt que de dormir. Dans cet état, vous semblez inerte, mais cela ne vous rend pas inconscient, et vous pouvez voir et entendre normalement."
  }</v>
      </c>
    </row>
    <row r="102" spans="1:9">
      <c r="A102" s="48" t="s">
        <v>5740</v>
      </c>
      <c r="B102" s="18"/>
      <c r="C102" s="55" t="s">
        <v>5767</v>
      </c>
      <c r="D102" s="55" t="s">
        <v>2807</v>
      </c>
      <c r="E102" s="55"/>
      <c r="F102" s="18"/>
      <c r="G102" s="18"/>
      <c r="H102" s="251" t="s">
        <v>5768</v>
      </c>
      <c r="I102" t="str">
        <f t="shared" si="1"/>
        <v>"WARFORGED-Protection intégrée":  {
 "Code" : "Protection intégrée",
 "Race" : "WARFORGED",
 "SubRace" : "","Stats" : true,
 "Description" : "Votre corps possède des couches de protection intégrée qui peuvent être améliorées par une armure :  Vous gagnez un bonus de +1 à la Classe d'Armure. Vous ne pouvez mettre une armure que si vous la maîtrisez. Pour mettre une armure, vous devez l'incorporer à votre corps. Cela vous prend 1 heure, durant laquelle vous restez en contact avec l'armure. Quitter une armure vous prend également 1 heure. Vous pouvez vous reposer pendant que vous mettez ou quittez une armure de cette manière. Tant que vous êtes en vie, votre armure ne peut pas être quittée de votre corps contre votre volonté."
  }</v>
      </c>
    </row>
    <row r="103" spans="1:9">
      <c r="A103" s="51" t="s">
        <v>5740</v>
      </c>
      <c r="B103" s="52"/>
      <c r="C103" s="182" t="s">
        <v>5769</v>
      </c>
      <c r="D103" s="182" t="s">
        <v>2807</v>
      </c>
      <c r="E103" s="52"/>
      <c r="F103" s="182"/>
      <c r="G103" s="52"/>
      <c r="H103" s="255" t="s">
        <v>5770</v>
      </c>
      <c r="I103" t="str">
        <f t="shared" si="1"/>
        <v>"WARFORGED-Conception spécialisée":  {
 "Code" : "Conception spécialisée",
 "Race" : "WARFORGED",
 "SubRace" : "","Stats" : true,
 "Description" : "Vous obtenez la maîtrise d'une compétence de votre choix et d'un outil de votre choix."
  }</v>
      </c>
    </row>
    <row r="104" spans="1:9" ht="14.25" customHeight="1">
      <c r="A104" s="160" t="s">
        <v>5771</v>
      </c>
      <c r="B104" s="161"/>
      <c r="C104" s="266" t="s">
        <v>5773</v>
      </c>
      <c r="D104" s="266" t="s">
        <v>2807</v>
      </c>
      <c r="E104" s="161"/>
      <c r="F104" s="266"/>
      <c r="G104" s="161"/>
      <c r="H104" s="250" t="s">
        <v>5774</v>
      </c>
      <c r="I104" t="str">
        <f t="shared" ref="I104:I112" si="2">""""&amp;A104&amp;B104&amp;"-"&amp;C104&amp;""":  {
 ""Code"" : """&amp;C104&amp;""",
 ""Race"" : """&amp;A104&amp;""",
 ""SubRace"" : """&amp;B104&amp;""","
 &amp;IF(ISBLANK(D104),"", """Stats"" : "&amp;D104&amp;",")
 &amp;IF(ISBLANK(E104),"", """Auto"" : "&amp;E104&amp;",")
 &amp;IF(ISBLANK(F104),"", """UseNumber"" : "&amp;F104&amp;",")
 &amp;IF(ISBLANK(G104),"", """RequiredLevel"" : "&amp;G104&amp;",")&amp;"
 ""Description"" : """&amp;SUBSTITUTE(H104,CHAR(10)," ")&amp;"""
  }"</f>
        <v>"LOXODON-Armure naturelle":  {
 "Code" : "Armure naturelle",
 "Race" : "LOXODON",
 "SubRace" : "","Stats" : true,
 "Description" : "Vous avez une peau épaisse et coriace. Lorsque vous ne portez pas d'armure, votre CA est de 13 + votre modificateur de Dextérité. Vous pouvez utiliser votre armure naturelle pour déterminer votre CA si l'armure que vous portez vous laisse avec une CA inférieure. Les avantages du bouclier s'appliquent normalement."
  }</v>
      </c>
    </row>
    <row r="105" spans="1:9">
      <c r="A105" s="48" t="s">
        <v>5771</v>
      </c>
      <c r="B105" s="18"/>
      <c r="C105" s="55" t="s">
        <v>4014</v>
      </c>
      <c r="D105" s="55"/>
      <c r="E105" s="18"/>
      <c r="F105" s="55">
        <v>-1</v>
      </c>
      <c r="G105" s="18"/>
      <c r="H105" s="251" t="s">
        <v>4015</v>
      </c>
      <c r="I105" t="str">
        <f t="shared" si="2"/>
        <v>"LOXODON-Connaissance de la pierre":  {
 "Code" : "Connaissance de la pierre",
 "Race" : "LOXODON",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v>
      </c>
    </row>
    <row r="106" spans="1:9">
      <c r="A106" s="48" t="s">
        <v>5771</v>
      </c>
      <c r="B106" s="18"/>
      <c r="C106" s="55" t="s">
        <v>5775</v>
      </c>
      <c r="D106" s="55" t="s">
        <v>2807</v>
      </c>
      <c r="E106" s="55" t="s">
        <v>2807</v>
      </c>
      <c r="F106" s="18"/>
      <c r="G106" s="18"/>
      <c r="H106" s="251" t="s">
        <v>5776</v>
      </c>
      <c r="I106" t="str">
        <f t="shared" si="2"/>
        <v>"LOXODON-Courage loxodon":  {
 "Code" : "Courage loxodon",
 "Race" : "LOXODON",
 "SubRace" : "","Stats" : true,"Auto" : true,
 "Description" : "Vous avez un avantage aux jets de sauvegarde effectués pour ne pas être effrayé."
  }</v>
      </c>
    </row>
    <row r="107" spans="1:9">
      <c r="A107" s="48" t="s">
        <v>5771</v>
      </c>
      <c r="B107" s="18"/>
      <c r="C107" s="55" t="s">
        <v>5777</v>
      </c>
      <c r="D107" s="55" t="s">
        <v>2807</v>
      </c>
      <c r="E107" s="55"/>
      <c r="F107" s="18"/>
      <c r="G107" s="18"/>
      <c r="H107" s="251" t="s">
        <v>5778</v>
      </c>
      <c r="I107" t="str">
        <f t="shared" si="2"/>
        <v>"LOXODON-Maçon compétent":  {
 "Code" : "Maçon compétent",
 "Race" : "LOXODON",
 "SubRace" : "","Stats" : true,
 "Description" : "Vous maîtrisez les outils de maçon."
  }</v>
      </c>
    </row>
    <row r="108" spans="1:9">
      <c r="A108" s="48" t="s">
        <v>5771</v>
      </c>
      <c r="B108" s="18"/>
      <c r="C108" s="55" t="s">
        <v>5779</v>
      </c>
      <c r="D108" s="55"/>
      <c r="E108" s="55"/>
      <c r="F108" s="18">
        <v>-1</v>
      </c>
      <c r="G108" s="18"/>
      <c r="H108" s="251" t="s">
        <v>5780</v>
      </c>
      <c r="I108" t="str">
        <f t="shared" si="2"/>
        <v>"LOXODON-Odorat précis":  {
 "Code" : "Odorat précis",
 "Race" : "LOXODON",
 "SubRace" : "","UseNumber" : -1,
 "Description" : "Grâce à la sensibilité de votre trompe, vous avez un avantage aux jets de Sagesse (Perception) et d'Intelligence (Investigation) basés sur l'odeur."
  }</v>
      </c>
    </row>
    <row r="109" spans="1:9">
      <c r="A109" s="51" t="s">
        <v>5771</v>
      </c>
      <c r="B109" s="52"/>
      <c r="C109" s="182" t="s">
        <v>4060</v>
      </c>
      <c r="D109" s="182" t="s">
        <v>2807</v>
      </c>
      <c r="E109" s="52"/>
      <c r="F109" s="182"/>
      <c r="G109" s="52"/>
      <c r="H109" s="255" t="s">
        <v>5781</v>
      </c>
      <c r="I109" t="str">
        <f t="shared" si="2"/>
        <v>"LOXODON-Puissamment bâtit":  {
 "Code" : "Puissamment bâtit",
 "Race" : "LOXODON",
 "SubRace" : "","Stats" : true,
 "Description" : "Vous comptez comme une taille plus grande pour déterminer votre capacité de charge et le poids que vous pouvez pousser, traîner ou soulever."
  }</v>
      </c>
    </row>
    <row r="110" spans="1:9">
      <c r="A110" s="160" t="s">
        <v>5782</v>
      </c>
      <c r="B110" s="161"/>
      <c r="C110" s="266" t="s">
        <v>2528</v>
      </c>
      <c r="D110" s="266"/>
      <c r="E110" s="161"/>
      <c r="F110" s="266">
        <v>-1</v>
      </c>
      <c r="G110" s="161"/>
      <c r="H110" s="250" t="s">
        <v>3975</v>
      </c>
      <c r="I110" t="str">
        <f t="shared" si="2"/>
        <v>"SIMIC-Vision dans le noir":  {
 "Code" : "Vision dans le noir",
 "Race" : "SIMIC",
 "SubRace" : "","UseNumber" : -1,
 "Description" : "Vous pouvez voir à 18 mètres dans une lumière faible comme vous verriez avec une lumière vive, et dans le noir comme vous verriez avec une lumière faible. Dans le noir, vous ne discernez pas les couleurs, uniquement des nuances de gris."
  }</v>
      </c>
    </row>
    <row r="111" spans="1:9">
      <c r="A111" s="48" t="s">
        <v>5782</v>
      </c>
      <c r="B111" s="18"/>
      <c r="C111" s="55" t="s">
        <v>5784</v>
      </c>
      <c r="D111" s="55"/>
      <c r="E111" s="18"/>
      <c r="F111" s="55">
        <v>-1</v>
      </c>
      <c r="G111" s="18"/>
      <c r="H111" s="251" t="s">
        <v>5785</v>
      </c>
      <c r="I111" t="str">
        <f t="shared" si="2"/>
        <v>"SIMIC-Améliorations animales":  {
 "Code" : "Améliorations animales",
 "Race" : "SIMIC",
 "SubRace" : "","UseNumber" : -1,
 "Description" : "Votre corps a été modifié pour incorporer certaines caractéristiques animales. Choisissez une amélioration animale maintenant.  Adaptation aquatique. Vous pouvez respirer de l'air ou de l'eau, et vous avez une vitesse de nage égale à votre vitesse de marche. Glissade de la raie manta. Vos ailes de raie peuvent ralentir votre chute vous permettre de glisser. Quand vous tombez et n'êtes pas neutralisé, vous pouvez soustraire jusqu'à 30 mètres de la hauteur de chute lors du calcul des dégâts subis, et vous pouvez vous déplacer jusqu'à 2 mètres horizontalement pour chaque mètre que vous descendez. Grimpeur Agile. Vous avez une vitesse d'escalade égale à votre vitesse de marche."
  }</v>
      </c>
    </row>
    <row r="112" spans="1:9">
      <c r="A112" s="51" t="s">
        <v>5782</v>
      </c>
      <c r="B112" s="52"/>
      <c r="C112" s="182" t="s">
        <v>5899</v>
      </c>
      <c r="D112" s="182"/>
      <c r="E112" s="52"/>
      <c r="F112" s="182">
        <v>-1</v>
      </c>
      <c r="G112" s="52">
        <v>5</v>
      </c>
      <c r="H112" s="255" t="s">
        <v>5786</v>
      </c>
      <c r="I112" t="str">
        <f t="shared" si="2"/>
        <v>"SIMIC-Améliorations animales II":  {
 "Code" : "Améliorations animales II",
 "Race" : "SIMIC",
 "SubRace" : "","UseNumber" : -1,"RequiredLevel" : 5,
 "Description" : "Choisissez l'une des options suivantes ou choisissez une des options que vous n'avez pas prises au niveau 1 :  Appendices de lutte. Un appendice spécial pousse à côté de chacun de vos bras, vous donnant l'apparence d'un être pourvu de quatre membres supérieurs. Ces appendices sont capables d'infliger des blessures conséquentes et de saisir vos adversaires. Choisissez s'il s'agit d'une paire de longues griffes chitineuses, ou d'une paire de tentacules. Chacun de ces appendices est une arme naturelle, que vous pouvez utiliser pour faire des attaques à mains nues. Si vous touchez, la cible subit des dégâts contondants ou tranchants (selon votre choix) égaux à 1d6 + votre modificateur de Force, au lieu des dégâts normaux d'une attaque réussie à mains nues. Immédiatement après avoir frappé, vous pouvez essayer d'empoigner la cible sur une action bonus. Les appendices sont incapables d'une manipulation de précision, et ne peuvent pas utiliser des armes, des objets magiques, ou autres équipements spécialisés. Carapace. Votre peau à certains endroits est couverte par une épaisse coquille minérale, à l'instar d'un crabe ou d'un coquillage. Vous gagnez un bonus de +1 à la CA lorsque vous ne portez pas d'armure lourde. Cette amélioration n'est pas cumulable à Peau translucide. Crachat acide. Sur une action, vous pouvez pulvériser un jet d'acide de vos glandes buccales, en ciblant une créature ou un objet que vous pouvez voir et situé à 9 mètres ou moins de vous. La cible doit réussir un jet de sauvegarde de Dextérité contre un DD égal à 8 + votre modificateur de Constitution + votre bonus de maîtrise, ou subir 2d10 dégâts d'acide. Les dégâts passent à 3d10 quand vous atteignez le niveau 11, et à 4d10 au niveau 17 (4d10)."
  }</v>
      </c>
    </row>
    <row r="113" spans="1:9">
      <c r="A113" s="160" t="s">
        <v>5788</v>
      </c>
      <c r="B113" s="161"/>
      <c r="C113" s="266" t="s">
        <v>5789</v>
      </c>
      <c r="D113" s="266" t="s">
        <v>2807</v>
      </c>
      <c r="E113" s="161" t="s">
        <v>2807</v>
      </c>
      <c r="F113" s="266"/>
      <c r="G113" s="161"/>
      <c r="H113" s="250" t="s">
        <v>5790</v>
      </c>
      <c r="I113" t="str">
        <f t="shared" ref="I113:I117" si="3">""""&amp;A113&amp;B113&amp;"-"&amp;C113&amp;""":  {
 ""Code"" : """&amp;C113&amp;""",
 ""Race"" : """&amp;A113&amp;""",
 ""SubRace"" : """&amp;B113&amp;""","
 &amp;IF(ISBLANK(D113),"", """Stats"" : "&amp;D113&amp;",")
 &amp;IF(ISBLANK(E113),"", """Auto"" : "&amp;E113&amp;",")
 &amp;IF(ISBLANK(F113),"", """UseNumber"" : "&amp;F113&amp;",")
 &amp;IF(ISBLANK(G113),"", """RequiredLevel"" : "&amp;G113&amp;",")&amp;"
 ""Description"" : """&amp;SUBSTITUTE(H113,CHAR(10)," ")&amp;"""
  }"</f>
        <v>"VEDALKEN-Calme vedalken":  {
 "Code" : "Calme vedalken",
 "Race" : "VEDALKEN",
 "SubRace" : "","Stats" : true,"Auto" : true,
 "Description" : "Vous avez un avantage à tous vos jets de sauvegarde d'Intelligence, de Sagesse et de Charisme."
  }</v>
      </c>
    </row>
    <row r="114" spans="1:9">
      <c r="A114" s="51" t="s">
        <v>5788</v>
      </c>
      <c r="B114" s="52"/>
      <c r="C114" s="182" t="s">
        <v>5791</v>
      </c>
      <c r="D114" s="182" t="s">
        <v>2807</v>
      </c>
      <c r="E114" s="52"/>
      <c r="F114" s="182"/>
      <c r="G114" s="52"/>
      <c r="H114" s="255" t="s">
        <v>5792</v>
      </c>
      <c r="I114" t="str">
        <f t="shared" si="3"/>
        <v>"VEDALKEN-Précis sans effort":  {
 "Code" : "Précis sans effort",
 "Race" : "VEDALKEN",
 "SubRace" : "","Stats" : true,
 "Description" : "Vous maîtrisez une des compétences suivantes (choisissez) : Arcanes, Escamotage, Histoire, Investigation, Médecine ou Représentation. Vous maîtrisez également un outil de votre choix. De plus, chaque fois que vous faites un jet de caractéristique avec la compétence ou l'outil choisi, lancez un d4 et ajoutez le résultat au total."
  }</v>
      </c>
    </row>
    <row r="115" spans="1:9">
      <c r="A115" s="160" t="s">
        <v>5794</v>
      </c>
      <c r="B115" s="161"/>
      <c r="C115" s="266" t="s">
        <v>5795</v>
      </c>
      <c r="D115" s="266"/>
      <c r="E115" s="161"/>
      <c r="F115" s="266">
        <v>-1</v>
      </c>
      <c r="G115" s="161"/>
      <c r="H115" s="250" t="s">
        <v>5796</v>
      </c>
      <c r="I115" t="str">
        <f t="shared" si="3"/>
        <v>"VIASHINO-Morsure":  {
 "Code" : "Morsure",
 "Race" : "VIASHINO",
 "SubRace" : "","UseNumber" : -1,
 "Description" : "Votre gueule garnie de crocs est une arme naturelle, que vous pouvez utiliser pour faire des attaques sans arme. Si vous touchez, vous infligez 1d4 + votre modificateur de Force dégâts perforants, au lieu des dégâts contondants normaux pour une attaque à mains nues."
  }</v>
      </c>
    </row>
    <row r="116" spans="1:9">
      <c r="A116" s="48" t="s">
        <v>5794</v>
      </c>
      <c r="B116" s="18"/>
      <c r="C116" s="55" t="s">
        <v>5797</v>
      </c>
      <c r="D116" s="55"/>
      <c r="E116" s="18"/>
      <c r="F116" s="55">
        <v>-1</v>
      </c>
      <c r="G116" s="18"/>
      <c r="H116" s="251" t="s">
        <v>5798</v>
      </c>
      <c r="I116" t="str">
        <f t="shared" si="3"/>
        <v>"VIASHINO-Queue fouettante":  {
 "Code" : "Queue fouettante",
 "Race" : "VIASHINO",
 "SubRace" : "","UseNumber" : -1,
 "Description" : "Votre queue semi-préhensile est munie d'une lame osseuse. Immédiatement après qu'une créature à 1,50 mètre ou moins de vous vous inflige des dégâts avec une attaque de corps à corps, vous pouvez utiliser votre réaction pour faire la frapper à mains nues avec votre queue. Si vous touchez, vous infligez des dégâts tranchants égaux à 1d4 + votre modificateur de Force, au lieu des dégâts contondants normaux pour une attaque à mains nues."
  }</v>
      </c>
    </row>
    <row r="117" spans="1:9">
      <c r="A117" s="48" t="s">
        <v>5794</v>
      </c>
      <c r="B117" s="18"/>
      <c r="C117" s="55" t="s">
        <v>5799</v>
      </c>
      <c r="D117" s="55" t="s">
        <v>2807</v>
      </c>
      <c r="E117" s="18"/>
      <c r="F117" s="55"/>
      <c r="G117" s="18"/>
      <c r="H117" s="251" t="s">
        <v>5946</v>
      </c>
      <c r="I117" t="str">
        <f t="shared" si="3"/>
        <v>"VIASHINO-Musculature nerveuse":  {
 "Code" : "Musculature nerveuse",
 "Race" : "VIASHINO",
 "SubRace" : "","Stats" : true,
 "Description" : "Vous gagnez la maîtrise de la compétence Acrobatie ou celle de la compétence Discrétion (vous choisissez)."
  }</v>
      </c>
    </row>
    <row r="118" spans="1:9">
      <c r="A118" s="160" t="s">
        <v>5800</v>
      </c>
      <c r="B118" s="161"/>
      <c r="C118" s="266" t="s">
        <v>2528</v>
      </c>
      <c r="D118" s="266"/>
      <c r="E118" s="161"/>
      <c r="F118" s="266">
        <v>-1</v>
      </c>
      <c r="G118" s="161"/>
      <c r="H118" s="250" t="s">
        <v>5760</v>
      </c>
      <c r="I118" t="str">
        <f t="shared" ref="I118:I119" si="4">""""&amp;A118&amp;B118&amp;"-"&amp;C118&amp;""":  {
 ""Code"" : """&amp;C118&amp;""",
 ""Race"" : """&amp;A118&amp;""",
 ""SubRace"" : """&amp;B118&amp;""","
 &amp;IF(ISBLANK(D118),"", """Stats"" : "&amp;D118&amp;",")
 &amp;IF(ISBLANK(E118),"", """Auto"" : "&amp;E118&amp;",")
 &amp;IF(ISBLANK(F118),"", """UseNumber"" : "&amp;F118&amp;",")
 &amp;IF(ISBLANK(G118),"", """RequiredLevel"" : "&amp;G118&amp;",")&amp;"
 ""Description"" : """&amp;SUBSTITUTE(H118,CHAR(10)," ")&amp;"""
  }"</f>
        <v>"LEONID-Vision dans le noir":  {
 "Code" : "Vision dans le noir",
 "Race" : "LEONID",
 "SubRace" : "","UseNumber" : -1,
 "Description" : "Vous pouvez voir avec une lumière faible jusqu'à 18 mètres comme vous verriez avec une lumière vive, et dans le noir comme vous verriez avec une lumière faible. Dans le noir, vous ne discernez pas les couleurs, uniquement des nuances de gris."
  }</v>
      </c>
    </row>
    <row r="119" spans="1:9">
      <c r="A119" s="48" t="s">
        <v>5800</v>
      </c>
      <c r="B119" s="18"/>
      <c r="C119" s="55" t="s">
        <v>3976</v>
      </c>
      <c r="D119" s="55" t="s">
        <v>2807</v>
      </c>
      <c r="E119" s="55" t="s">
        <v>2807</v>
      </c>
      <c r="F119" s="55"/>
      <c r="G119" s="18"/>
      <c r="H119" s="251" t="s">
        <v>5805</v>
      </c>
      <c r="I119" t="str">
        <f t="shared" si="4"/>
        <v>"LEONID-Sens aiguisés":  {
 "Code" : "Sens aiguisés",
 "Race" : "LEONID",
 "SubRace" : "","Stats" : true,"Auto" : true,
 "Description" : "Vous maîtrisez la compétence Sens aiguisés."
  }</v>
      </c>
    </row>
    <row r="120" spans="1:9">
      <c r="A120" s="48" t="s">
        <v>5800</v>
      </c>
      <c r="B120" s="18"/>
      <c r="C120" s="55" t="s">
        <v>5806</v>
      </c>
      <c r="D120" s="55"/>
      <c r="E120" s="18"/>
      <c r="F120" s="55">
        <v>1</v>
      </c>
      <c r="G120" s="18"/>
      <c r="H120" s="251" t="s">
        <v>5807</v>
      </c>
      <c r="I120" t="str">
        <f>""""&amp;A120&amp;B120&amp;"-"&amp;C120&amp;""":  {
 ""Code"" : """&amp;C120&amp;""",
 ""Race"" : """&amp;A120&amp;""",
 ""SubRace"" : """&amp;B120&amp;""","
 &amp;IF(ISBLANK(D120),"", """Stats"" : "&amp;D120&amp;",")
 &amp;IF(ISBLANK(E120),"", """Auto"" : "&amp;E120&amp;",")
 &amp;IF(ISBLANK(F120),"", """UseNumber"" : "&amp;F120&amp;",")
 &amp;IF(ISBLANK(G120),"", """RequiredLevel"" : "&amp;G120&amp;",")&amp;"
 ""Description"" : """&amp;SUBSTITUTE(H120,CHAR(10)," ")&amp;"""
  }"</f>
        <v>"LEONID-Rage de lion":  {
 "Code" : "Rage de lion",
 "Race" : "LEONID",
 "SubRace" : "","UseNumber" : 1,
 "Description" : "Par une action bonus, vous pouvez faire ressortir le fauve qui est en vous. La rage ure 1 minute, jusqu'à ce que vous mouriez, ou jusqu'à ce que vous repreniez votre calme normale par une action bonus. Pendant la rage, vous gagnez des points de vie temporaires égaux à votre niveau + votre bonus de Constitution (minimum 1 pv temporaire). Vous devez terminer un repos court ou long avant de pouvoir utiliser à nouveau la capacité de Changement."
  }</v>
      </c>
    </row>
    <row r="121" spans="1:9">
      <c r="A121" s="264"/>
      <c r="B121" s="266" t="s">
        <v>5925</v>
      </c>
      <c r="C121" s="161" t="s">
        <v>5940</v>
      </c>
      <c r="D121" s="161" t="s">
        <v>2807</v>
      </c>
      <c r="E121" s="161" t="s">
        <v>2807</v>
      </c>
      <c r="F121" s="161"/>
      <c r="G121" s="161"/>
      <c r="H121" s="250" t="s">
        <v>4057</v>
      </c>
      <c r="I121" t="str">
        <f t="shared" ref="I121:I130" si="5">""""&amp;A121&amp;B121&amp;"-"&amp;C121&amp;""":  {
 ""Code"" : """&amp;C121&amp;""",
 ""Race"" : """&amp;A121&amp;""",
 ""SubRace"" : """&amp;B121&amp;""","
 &amp;IF(ISBLANK(D121),"", """Stats"" : "&amp;D121&amp;",")
 &amp;IF(ISBLANK(E121),"", """Auto"" : "&amp;E121&amp;",")
 &amp;IF(ISBLANK(F121),"", """UseNumber"" : "&amp;F121&amp;",")
 &amp;IF(ISBLANK(G121),"", """RequiredLevel"" : "&amp;G121&amp;",")&amp;"
 ""Description"" : """&amp;SUBSTITUTE(H121,CHAR(10)," ")&amp;"""
  }"</f>
        <v>"LEONID_HARD_SKIN-Robuste":  {
 "Code" : "Robuste",
 "Race" : "",
 "SubRace" : "LEONID_HARD_SKIN","Stats" : true,"Auto" : true,
 "Description" : "Vous maîtrisez la compétence Athlétisme."
  }</v>
      </c>
    </row>
    <row r="122" spans="1:9">
      <c r="A122" s="360"/>
      <c r="B122" s="355" t="s">
        <v>5925</v>
      </c>
      <c r="C122" s="354" t="s">
        <v>5930</v>
      </c>
      <c r="D122" s="354"/>
      <c r="E122" s="354"/>
      <c r="F122" s="354">
        <v>1</v>
      </c>
      <c r="G122" s="354"/>
      <c r="H122" s="356" t="s">
        <v>5939</v>
      </c>
      <c r="I122" t="str">
        <f t="shared" si="5"/>
        <v>"LEONID_HARD_SKIN-Capacité de Rage":  {
 "Code" : "Capacité de Rage",
 "Race" : "",
 "SubRace" : "LEONID_HARD_SKIN","UseNumber" : 1,
 "Description" : "Lors de votre changement, vous gagnez 1d6 points de vie temporaires additionnels et un bonus de +1 a la CA."
  }</v>
      </c>
    </row>
    <row r="123" spans="1:9">
      <c r="A123" s="361"/>
      <c r="B123" s="358" t="s">
        <v>5924</v>
      </c>
      <c r="C123" s="357" t="s">
        <v>5937</v>
      </c>
      <c r="D123" s="357" t="s">
        <v>2807</v>
      </c>
      <c r="E123" s="357" t="s">
        <v>2807</v>
      </c>
      <c r="F123" s="357"/>
      <c r="G123" s="357"/>
      <c r="H123" s="362" t="s">
        <v>5938</v>
      </c>
      <c r="I123" t="str">
        <f t="shared" si="5"/>
        <v>"LEONID_FANGED_FANGS-Furieux":  {
 "Code" : "Furieux",
 "Race" : "",
 "SubRace" : "LEONID_FANGED_FANGS","Stats" : true,"Auto" : true,
 "Description" : "Vous maîtrisez la compétence Intimidation."
  }</v>
      </c>
    </row>
    <row r="124" spans="1:9">
      <c r="A124" s="355"/>
      <c r="B124" s="355" t="s">
        <v>5924</v>
      </c>
      <c r="C124" s="354" t="s">
        <v>5930</v>
      </c>
      <c r="D124" s="354"/>
      <c r="E124" s="354"/>
      <c r="F124" s="354">
        <v>1</v>
      </c>
      <c r="G124" s="354"/>
      <c r="H124" s="356" t="s">
        <v>5936</v>
      </c>
      <c r="I124" t="str">
        <f t="shared" si="5"/>
        <v>"LEONID_FANGED_FANGS-Capacité de Rage":  {
 "Code" : "Capacité de Rage",
 "Race" : "",
 "SubRace" : "LEONID_FANGED_FANGS","UseNumber"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v>
      </c>
    </row>
    <row r="125" spans="1:9">
      <c r="A125" s="363"/>
      <c r="B125" s="358" t="s">
        <v>5923</v>
      </c>
      <c r="C125" s="357" t="s">
        <v>5935</v>
      </c>
      <c r="D125" s="357" t="s">
        <v>2807</v>
      </c>
      <c r="E125" s="357" t="s">
        <v>2807</v>
      </c>
      <c r="F125" s="357"/>
      <c r="G125" s="357"/>
      <c r="H125" s="362" t="s">
        <v>5945</v>
      </c>
      <c r="I125" t="str">
        <f t="shared" si="5"/>
        <v>"LEONID_FELINE_STRIDE-Gracieux":  {
 "Code" : "Gracieux",
 "Race" : "",
 "SubRace" : "LEONID_FELINE_STRIDE","Stats" : true,"Auto" : true,
 "Description" : "Vous maîtrisez la compétence Acrobatie."
  }</v>
      </c>
    </row>
    <row r="126" spans="1:9">
      <c r="A126" s="55"/>
      <c r="B126" s="55" t="s">
        <v>5923</v>
      </c>
      <c r="C126" s="18" t="s">
        <v>5933</v>
      </c>
      <c r="D126" s="18" t="s">
        <v>2807</v>
      </c>
      <c r="E126" s="55" t="s">
        <v>2807</v>
      </c>
      <c r="F126" s="18"/>
      <c r="G126" s="18"/>
      <c r="H126" s="260" t="s">
        <v>5934</v>
      </c>
      <c r="I126" t="str">
        <f t="shared" si="5"/>
        <v>"LEONID_FELINE_STRIDE-Foulée rapide":  {
 "Code" : "Foulée rapide",
 "Race" : "",
 "SubRace" : "LEONID_FELINE_STRIDE","Stats" : true,"Auto" : true,
 "Description" : "Votre vitesse de marche augmente de 1,50 mètre."
  }</v>
      </c>
    </row>
    <row r="127" spans="1:9">
      <c r="A127" s="355"/>
      <c r="B127" s="355" t="s">
        <v>5923</v>
      </c>
      <c r="C127" s="354" t="s">
        <v>5930</v>
      </c>
      <c r="D127" s="354"/>
      <c r="E127" s="354"/>
      <c r="F127" s="354">
        <v>1</v>
      </c>
      <c r="G127" s="354"/>
      <c r="H127" s="356" t="s">
        <v>5932</v>
      </c>
      <c r="I127" t="str">
        <f t="shared" si="5"/>
        <v>"LEONID_FELINE_STRIDE-Capacité de Rage":  {
 "Code" : "Capacité de Rage",
 "Race" : "",
 "SubRace" : "LEONID_FELINE_STRIDE","UseNumber"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v>
      </c>
    </row>
    <row r="128" spans="1:9">
      <c r="A128" s="55"/>
      <c r="B128" s="55" t="s">
        <v>5941</v>
      </c>
      <c r="C128" s="18" t="s">
        <v>5926</v>
      </c>
      <c r="D128" s="18" t="s">
        <v>2807</v>
      </c>
      <c r="E128" s="55" t="s">
        <v>2807</v>
      </c>
      <c r="F128" s="18"/>
      <c r="G128" s="18"/>
      <c r="H128" s="260" t="s">
        <v>5927</v>
      </c>
      <c r="I128" t="str">
        <f t="shared" si="5"/>
        <v>"LEONID_HUNTER_PREDATOR-Traqueur inné":  {
 "Code" : "Traqueur inné",
 "Race" : "",
 "SubRace" : "LEONID_HUNTER_PREDATOR","Stats" : true,"Auto" : true,
 "Description" : "Vous maîtrisez la compétence Survie."
  }</v>
      </c>
    </row>
    <row r="129" spans="1:9">
      <c r="A129" s="55"/>
      <c r="B129" s="55" t="s">
        <v>5941</v>
      </c>
      <c r="C129" s="18" t="s">
        <v>5928</v>
      </c>
      <c r="D129" s="18"/>
      <c r="E129" s="18"/>
      <c r="F129" s="18">
        <v>1</v>
      </c>
      <c r="G129" s="18"/>
      <c r="H129" s="251" t="s">
        <v>5929</v>
      </c>
      <c r="I129" t="str">
        <f t="shared" si="5"/>
        <v>"LEONID_HUNTER_PREDATOR-Fixer le parfum":  {
 "Code" : "Fixer le parfum",
 "Race" : "",
 "SubRace" : "LEONID_HUNTER_PREDATOR","UseNumber"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v>
      </c>
    </row>
    <row r="130" spans="1:9">
      <c r="A130" s="179"/>
      <c r="B130" s="182" t="s">
        <v>5941</v>
      </c>
      <c r="C130" s="52" t="s">
        <v>5930</v>
      </c>
      <c r="D130" s="52"/>
      <c r="E130" s="52"/>
      <c r="F130" s="52">
        <v>1</v>
      </c>
      <c r="G130" s="52"/>
      <c r="H130" s="255" t="s">
        <v>5931</v>
      </c>
      <c r="I130" t="str">
        <f t="shared" si="5"/>
        <v>"LEONID_HUNTER_PREDATOR-Capacité de Rage":  {
 "Code" : "Capacité de Rage",
 "Race" : "",
 "SubRace" : "LEONID_HUNTER_PREDATOR","UseNumber" : 1,
 "Description" : "Pendant votre changement, vous gagnez un avantage aux jets de Sagesse."
  }</v>
      </c>
    </row>
    <row r="131" spans="1:9">
      <c r="A131" s="55"/>
      <c r="B131" s="18"/>
    </row>
    <row r="132" spans="1:9">
      <c r="A132" s="55"/>
      <c r="B132" s="18"/>
    </row>
    <row r="133" spans="1:9">
      <c r="A133" s="55"/>
      <c r="B133" s="18"/>
    </row>
    <row r="134" spans="1:9">
      <c r="A134" s="55"/>
      <c r="B134" s="18"/>
    </row>
    <row r="135" spans="1:9">
      <c r="A135" s="55"/>
      <c r="B135" s="18"/>
      <c r="I135" t="str">
        <f>CONCATENATE(I136,I137)</f>
        <v>"AIR_GENASI-Souffle sans fin":  {
 "Code" : "Souffle sans fin",
 "Race" : "",
 "SubRace" : "AIR_GENASI","UseNumber" : -1,
 "Description" : "Vous pouvez retenir votre respiration indéfiniment tant que vous n’êtes pas incapable d'agir."
  },
"AIR_GENASI-Se mêler au vent":  {
 "Code" : "Se mêler au vent",
 "Race" : "",
 "SubRace" : "AIR_GENASI","UseNumber" : 1,
 "Description" : "Vous pouvez lancer le sort lévitation une fois, sans composante matérielle, et vous regagnez la capacité de le relancer ainsi après un repos long. La Constitution est votre caractéristique d'incantation pour ce sort."
  },
"EARTH_GENASI-Marche de la terre":  {
 "Code" : "Marche de la terre",
 "Race" : "",
 "SubRace" : "EARTH_GENASI","UseNumber" : -1,
 "Description" : "Vous pouvez vous déplacer sur des terrains difficiles faits de pierre ou de terre sans dépenser de mouvement supplémentaire."
  },
"EARTH_GENASI-Fusionner avec la pierre":  {
 "Code" : "Fusionner avec la pierre",
 "Race" : "",
 "SubRace" : "EARTH_GENASI","UseNumber" : 1,
 "Description" : "Vous pouvez lancer le sort passage sans trace une fois, sans composante matérielle, et vous regagnez la capacité de le relancer ainsi après un repos long. La Constitution est votre caractéristique d'incantation pour ce sort."
  },
"FIRE_GENASI-Résistance au feu":  {
 "Code" : "Résistance au feu",
 "Race" : "",
 "SubRace" : "FIRE_GENASI","Stats" : true,"Auto" : true,
 "Description" : "Vous avez la résistance aux dégâts de feu."
  },
"FIRE_GENASI-Atteindre le brasier":  {
 "Code" : "Atteindre le brasier",
 "Race" : "",
 "SubRace" : "FIRE_GENASI","UseNumber" : 1,"RequiredLevel" : 3,
 "Description" : "Vous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
  },
"WATER_GENASI-Résistance à l’acide":  {
 "Code" : "Résistance à l’acide",
 "Race" : "",
 "SubRace" : "WATER_GENASI","Stats" : true,"Auto" : true,
 "Description" : "Vous avez la résistance aux dégâts d’acide."
  },
"WATER_GENASI-Amphibien":  {
 "Code" : "Amphibien",
 "Race" : "",
 "SubRace" : "WATER_GENASI","UseNumber" : -1,
 "Description" : "Vous pouvez respirer aussi bien dans l'air que sous l'eau."
  },
"WATER_GENASI-Nage":  {
 "Code" : "Nage",
 "Race" : "",
 "SubRace" : "WATER_GENASI","UseNumber" : -1,
 "Description" : "Votre vitesse de nage est de 9 mètres."
  },
"WATER_GENASI-Appeler la vague":  {
 "Code" : "Appeler la vague",
 "Race" : "",
 "SubRace" : "WATER_GENASI","UseNumber" : 1,"RequiredLevel" : 3,
 "Description" : "Vous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
  },
"ELF-Vision dans le noir":  {
 "Code" : "Vision dans le noir",
 "Race" : "ELF",
 "SubRace" : "","UseNumber" : -1,
 "Description" : "Vous pouvez voir à 18 mètres dans une lumière faible comme vous verriez avec une lumière vive, et dans le noir comme vous verriez avec une lumière faible. Dans le noir, vous ne discernez pas les couleurs, uniquement des nuances de gris."
  },
"ELF-Sens aiguisés":  {
 "Code" : "Sens aiguisés",
 "Race" : "ELF",
 "SubRace" : "","Stats" : true,
 "Description" : "Vous maîtrisez la compétence Perception."
  },
"ELF-Ascendance féerique":  {
 "Code" : "Ascendance féerique",
 "Race" : "ELF",
 "SubRace" : "","Stats" : true,
 "Description" : "Vous avez un avantage aux jets de sauvegarde contre les effets de charme et la magie ne peut pas vous endormir."
  },
"ELF-Transe":  {
 "Code" : "Transe",
 "Race" : "ELF",
 "SubRace" : "","UseNumber" : -1,
 "Description" : "Les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
  },
"HIGH_ELF-Cachette naturelle":  {
 "Code" : "Cachette naturelle",
 "Race" : "",
 "SubRace" : "HIGH_ELF","UseNumber" : -1,
 "Description" : "Vous pouvez tenter de vous cacher dans une zone à visibilité réduite, comme en présence de branchages, de forte pluie, de neige qui tombe, de brume ou autre phénomène naturel."
  },
"HIGH_ELF-Entraînement aux armes elfiques":  {
 "Code" : "Entraînement aux armes elfiques",
 "Race" : "",
 "SubRace" : "HIGH_ELF","Stats" : true,"Auto" : true,
 "Description" : "Vous obtenez la maîtrise des épées (longues et courtes) et des arcs (longs et courts)."
  },
"DROW-Vision dans le noir supérieure":  {
 "Code" : "Vision dans le noir supérieure",
 "Race" : "",
 "SubRace" : "DROW","UseNumber" : -1,
 "Description" : "Votre vision dans le noir est étendue à 36 mètres."
  },
"DROW-Sensibilité à la lumière du soleil":  {
 "Code" : "Sensibilité à la lumière du soleil",
 "Race" : "",
 "SubRace" : "DROW","UseNumber" : -1,
 "Description" : "Vous avez un désavantage aux jets d'attaque et aux jets de Sagesse (Perception) basés sur ​​la vue quand vous, la cible de l'attaque ou ce que vous essayez de détecter est exposé à la lumière du soleil."
  },
"DROW-Entraînement aux armes drows":  {
 "Code" : "Entraînement aux armes drows",
 "Race" : "",
 "SubRace" : "DROW","Stats" : true,"Auto" : true,
 "Description" : "Vous obtenez la maîtrise des rapières, des épées courtes et des arbalètes de poing"
  },
"DROW-Magie drow":  {
 "Code" : "Magie drow",
 "Race" : "",
 "SubRace" : "DROW","UseNumber" : 1,"RequiredLevel" : 3,
 "Description" : "Vous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
  },
"WOODEN_ELF-Entraînement aux armes elfiques":  {
 "Code" : "Entraînement aux armes elfiques",
 "Race" : "",
 "SubRace" : "WOODEN_ELF","Stats" : true,"Auto" : true,
 "Description" : "Vous obtenez la maîtrise des épées (longues et courtes) et des arcs (longs et courts)."
  },
"GRUGACH-Sorts mineurs":  {
 "Code" : "Sorts mineurs",
 "Race" : "",
 "SubRace" : "GRUGACH","Stats" : true,
 "Description" : "Vous connaissez un sort mineur de votre choix parmi la liste des sorts mineurs de druide. La Sagesse est votre caractéristique d'incantation pour ces sorts."
  },
"AQUATIC_ELF-Enfant de la mer":  {
 "Code" : "Enfant de la mer",
 "Race" : "",
 "SubRace" : "AQUATIC_ELF","UseNumber" : -1,
 "Description" : "Vous avez une vitesse de nage de 9 mètres, et vous pouvez respirer sous l'eau comme dans l'air."
  },
"AQUATIC_ELF-Ami de la mer":  {
 "Code" : "Ami de la mer",
 "Race" : "",
 "SubRace" : "AQUATIC_ELF","UseNumber" : -1,
 "Description" : "À l'aide de gestes et de sons, vous pouvez communiquer des idées simples à des créatures de taille Petite ou inférieure qui ont une vitesse de nage innée."
  },
"AVARIEL-Vol":  {
 "Code" : "Vol",
 "Race" : "",
 "SubRace" : "AVARIEL","UseNumber" : -1,
 "Description" : "Vous avez une vitesse de vol de 9 mètres. Pour utiliser cette vitesse, vous ne devez pas porter d'armure intermédiaire ou lourde."
  },
"SHADAR_KAI-Bénédiction de la Reine Corneille":  {
 "Code" : "Bénédiction de la Reine Corneille",
 "Race" : "",
 "SubRace" : "SHADAR_KAI","UseNumber" : 1,
 "Description" : "Par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
  },
"SHADAR_KAI-Sorts mineurs":  {
 "Code" : "Sorts mineurs",
 "Race" : "",
 "SubRace" : "SHADAR_KAI","Stats" : true,
 "Description" : "Vous connaissez un sort mineur de votre choix parmi contact glacial, stabilisation et thaumaturgie. Le Charisme est votre caractéristique d'incantation pour ces sorts."
  },
"HALFELIN-Chanceux":  {
 "Code" : "Chanceux",
 "Race" : "HALFELIN",
 "SubRace" : "","UseNumber" : -1,
 "Description" : "Lorsque vous obtenez un 1 au dé d'un jet d'attaque, de caractéristique ou de sauvegarde, vous pouvez relancer le dé et devez alors utiliser ce nouveau résultat."
  },
"HALFELIN-Vaillant":  {
 "Code" : "Vaillant",
 "Race" : "HALFELIN",
 "SubRace" : "","Stats" : true,
 "Description" : "Vous avez un avantage aux jets de sauvegarde pour ne pas être effrayé."
  },
"HALFELIN-Agilité halfeline":  {
 "Code" : "Agilité halfeline",
 "Race" : "HALFELIN",
 "SubRace" : "","UseNumber" : -1,
 "Description" : "Vous pouvez passer dans l'espace de toute créature d'une taille supérieure à la vôtre"
  },
"LIGHT_FOOT_HALFELIN-Discrétion naturelle":  {
 "Code" : "Discrétion naturelle",
 "Race" : "",
 "SubRace" : "LIGHT_FOOT_HALFELIN",
 "Description" : "Vous pouvez tenter de vous cacher si vous vous trouvez derrière une créature d'une taille supérieure à la vôtre."
  },
"ROBUST_HALFELIN-Résistance des robustes":  {
 "Code" : "Résistance des robustes",
 "Race" : "",
 "SubRace" : "ROBUST_HALFELIN","Stats" : true,"Auto" : true,
 "Description" : "Vous obtenez un avantage aux jets de sauvegarde contre le poison et la résistance contre les dégâts de poison."
  },
"DWARF-Vision dans le noir":  {
 "Code" : "Vision dans le noir",
 "Race" : "DWARF",
 "SubRace" : "","UseNumber" : -1,
 "Description" : "Habitué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
  },
"DWARF-Résistance naine":  {
 "Code" : "Résistance naine",
 "Race" : "DWARF",
 "SubRace" : "","Stats" : true,"Auto" : true,
 "Description" : "Vous avez un avantage aux jets de sauvegarde contre le poison et obtenez la résistance contre les dégâts de poison."
  },
"DWARF-Entraînement aux armes naines":  {
 "Code" : "Entraînement aux armes naines",
 "Race" : "DWARF",
 "SubRace" : "","Stats" : true,"Auto" : true,
 "Description" : "Vous obtenez la maîtrise des hachettes, des haches d'armes, des marteaux légers et des marteaux de guerre."
  },
"DWARF-Maîtrise des outils":  {
 "Code" : "Maîtrise des outils",
 "Race" : "DWARF",
 "SubRace" : "","Stats" : true,
 "Description" : "Vous obtenez la maîtrise d'un des outils d'artisan suivant au choix : outils de forgeron, outils de brasseur ou outils de maçon."
  },
"DWARF-Connaissance de la pierre":  {
 "Code" : "Connaissance de la pierre",
 "Race" : "DWARF",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
"HILLS_DWARF-Robustesse naine":  {
 "Code" : "Robustesse naine",
 "Race" : "",
 "SubRace" : "HILLS_DWARF","Stats" : true,
 "Description" : "Vos points de vie maximums augmentent de 1 à chaque niveau."
  },
"MONTAINS_DWARF-Formation au port des armures naines":  {
 "Code" : "Formation au port des armures naines",
 "Race" : "",
 "SubRace" : "MONTAINS_DWARF","Stats" : true,"Auto" : true,
 "Description" : "Vous maîtrisez les armures légères et intermédiaires."
  },
"HALF_ELF-Vision dans le noir":  {
 "Code" : "Vision dans le noir",
 "Race" : "HALF_ELF",
 "SubRace" : "","UseNumber" : -1,
 "Description" : "Grâce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"HALF_ELF-Ascendance féerique":  {
 "Code" : "Ascendance féerique",
 "Race" : "HALF_ELF",
 "SubRace" : "","Stats" : true,"Auto" : true,
 "Description" : "Vous avez un avantage aux jets de sauvegarde contre les effets de charme et la magie ne peut pas vous endormir."
  },
"HALF_ELF-Polyvalence":  {
 "Code" : "Polyvalence",
 "Race" : "HALF_ELF",
 "SubRace" : "","Stats" : true,
 "Description" : "Vous gagnez la maîtrise de deux compétences de votre choix."
  },
"HALF_ORC-Vision dans le noir":  {
 "Code" : "Vision dans le noir",
 "Race" : "HALF_ORC",
 "SubRace" : "","UseNumber" : -1,
 "Description" : "Grâce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"HALF_ORC-Menaçant":  {
 "Code" : "Menaçant",
 "Race" : "HALF_ORC",
 "SubRace" : "","Stats" : true,
 "Description" : "Vous gagnez la maîtrise de la compétence Intimidation."
  },
"HALF_ORC-Endurance implacable":  {
 "Code" : "Endurance implacable",
 "Race" : "HALF_ORC",
 "SubRace" : "","UseNumber" : -1,
 "Description" : "Lorsque vous tombez à 0 point de vie, mais que vous n'êtes pas tué sur le coup, vous pouvez passer à 1 point de vie à la place. Vous devez terminer un repos long avant de pouvoir utiliser cette capacité de nouveau."
  },
"HALF_ORC-Attaques sauvages":  {
 "Code" : "Attaques sauvages",
 "Race" : "HALF_ORC",
 "SubRace" : "","UseNumber" : -1,
 "Description" : "Lorsque vous réalisez un coup critique lors d'une attaque au corps à corps avec une arme, vous pouvez jeter l'un des dés de dégâts de l'arme une deuxième fois et l'ajouter aux dégâts supplémentaires du coup critique."
  },
"DRAGON_BORN-Souffle":  {
 "Code" : "Souffle",
 "Race" : "DRAGON_BORN",
 "SubRace" : "","UseNumber" : -1,
 "Description" : "Vous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
  },
"DRAGON_BORN-Résistance aux dégâts":  {
 "Code" : "Résistance aux dégâts",
 "Race" : "DRAGON_BORN",
 "SubRace" : "","Stats" : true,"Auto" : true,
 "Description" : "Vous obtenez la résistance au type de dégâts associé à votre ascendance draconique."
  },
"GNOME-Vision dans le noir":  {
 "Code" : "Vision dans le noir",
 "Race" : "GNOME",
 "SubRace" : "","UseNumber" : -1,
 "Description" : "Habitué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"GNOME-Ruse gnome":  {
 "Code" : "Ruse gnome",
 "Race" : "GNOME",
 "SubRace" : "","Stats" : true,"Auto" : true,
 "Description" : "Vous avez un avantage aux jets de sauvegarde d'Intelligence, de Sagesse et de Charisme contre la magie."
  },
"FORESTS_GNOME-Illusionniste-né":  {
 "Code" : "Illusionniste-né",
 "Race" : "",
 "SubRace" : "FORESTS_GNOME","UseNumber" : -1,
 "Description" : "Vous connaissez le sort mineur illusion mineure. L'Intelligence est votre caractéristique d'incantation pour ce sort."
  },
"FORESTS_GNOME-Communication avec les petits animaux":  {
 "Code" : "Communication avec les petits animaux",
 "Race" : "",
 "SubRace" : "FORESTS_GNOME","UseNumber" : -1,
 "Description" : "À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
  },
"ROCKS_GNOME-Connaissance en ingénierie":  {
 "Code" : "Connaissance en ingénierie",
 "Race" : "",
 "SubRace" : "ROCKS_GNOME","UseNumber" : -1,
 "Description" : "Chaque fois que vous effectuez un jet d'Intelligence (Histoire) en relation avec l'alchimie, des objets magiques ou des dispositifs technologiques, ajoutez le double de votre bonus de maîtrise au jet, au lieu du bonus de maîtrise normal."
  },
"ROCKS_GNOME-Bricoleur":  {
 "Code" : "Bricoleur",
 "Race" : "",
 "SubRace" : "ROCKS_GNOME","UseNumber" : -1,
 "Description" : "Vous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
  },
"DEPTH_GNOME-Vision dans le noir supérieure":  {
 "Code" : "Vision dans le noir supérieure",
 "Race" : "",
 "SubRace" : "DEPTH_GNOME","UseNumber" : -1,
 "Description" : "Votre vision dans le noir a une portée de 36 mètres."
  },
"DEPTH_GNOME-Ruse gnome":  {
 "Code" : "Ruse gnome",
 "Race" : "",
 "SubRace" : "DEPTH_GNOME","Stats" : true,"Auto" : true,
 "Description" : "Vous avez l'avantage aux jets de sauvegarde d'Intelligence, de Sagesse et de Charisme contre la magie."
  },
"DEPTH_GNOME-Teint pierreux":  {
 "Code" : "Teint pierreux",
 "Race" : "",
 "SubRace" : "DEPTH_GNOME","UseNumber" : -1,
 "Description" : "Vous avez l'avantage aux jets de Dextérité (Discrétion) pour vous cacher sur un terrain rocheux."
  },
"TIEFFLING-Vision dans le noir":  {
 "Code" : "Vision dans le noir",
 "Race" : "TIEFFLING",
 "SubRace" : "","UseNumber" : -1,
 "Description" : "Grâce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"TIEFFLING-Résistance infernale":  {
 "Code" : "Résistance infernale",
 "Race" : "TIEFFLING",
 "SubRace" : "","Stats" : true,"Auto" : true,
 "Description" : "Vous avez la résistance aux dégâts de feu."
  },
"TIEFFLING_0-Ascendance infernale":  {
 "Code" : "Ascendance infernale",
 "Race" : "",
 "SubRace" : "TIEFFLING_0","Stats"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"TIEFFLING_ASMODEUS-Ascendance infernale":  {
 "Code" : "Ascendance infernale",
 "Race" : "",
 "SubRace" : "TIEFFLING_ASMODEUS","Stats"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"TIEFFLING_BEELZEBUB-Ascendance de Maladomini":  {
 "Code" : "Ascendance de Maladomini",
 "Race" : "",
 "SubRace" : "TIEFFLING_BEELZEBUB","Stats" : true,"Auto" : true,"UseNumber" : 1,
 "Description" : "Vous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
  },
"TIEFFLING_DISPAT-Ascendance de Dis":  {
 "Code" : "Ascendance de Dis",
 "Race" : "",
 "SubRace" : "TIEFFLING_DISPAT","Stats" : true,"Auto" : true,"UseNumber" : 1,
 "Description" : "Vous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"TIEFFLING_FIERNA-Ascendance de Phlegethos":  {
 "Code" : "Ascendance de Phlegethos",
 "Race" : "",
 "SubRace" : "TIEFFLING_FIERNA","Stats" : true,"Auto" : true,"UseNumber" : 1,
 "Description" : "Vous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
  },
"TIEFFLING_GLASYA-Ascendance de Malbolge":  {
 "Code" : "Ascendance de Malbolge",
 "Race" : "",
 "SubRace" : "TIEFFLING_GLASYA","Stats" : true,"Auto" : true,"UseNumber" : 1,
 "Description" : "Vous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"TIEFFLING_LEVISTUS-Ascendance de Stygia":  {
 "Code" : "Ascendance de Stygia",
 "Race" : "",
 "SubRace" : "TIEFFLING_LEVISTUS","Stats" : true,"Auto" : true,"UseNumber" : 1,
 "Description" : "Vous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
  },
"TIEFFLING_MAMMON-Ascendance de Minauros":  {
 "Code" : "Ascendance de Minauros",
 "Race" : "",
 "SubRace" : "TIEFFLING_MAMMON","Stats" : true,"Auto" : true,"UseNumber" : 1,
 "Description" : "Vous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
  },
"TIEFFLING_MEPHISTOPHELES-Ascendance de Cania":  {
 "Code" : "Ascendance de Cania",
 "Race" : "",
 "SubRace" : "TIEFFLING_MEPHISTOPHELES","Stats" : true,"Auto" : true,"UseNumber" : 1,
 "Description" : "Vous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
  },
"TIEFFLING_ZARIEL-Ascendance d'Avernus":  {
 "Code" : "Ascendance d'Avernus",
 "Race" : "",
 "SubRace" : "TIEFFLING_ZARIEL","Stats" : true,"Auto" : true,"UseNumber" : 1,
 "Description" : "Vous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
  },
"AARAKOCRA-Vol":  {
 "Code" : "Vol",
 "Race" : "AARAKOCRA",
 "SubRace" : "","UseNumber" : -1,
 "Description" : "Vous avez une vitesse de vol de 15 mètres par round. Pour utiliser cette vitesse, vous ne devez par porter d'armure moyenne ou lourde."
  },
"AARAKOCRA-Serre":  {
 "Code" : "Serre",
 "Race" : "AARAKOCRA",
 "SubRace" : "","UseNumber" : -1,
 "Description" : "Vous maîtrisez vos armes naturelles, lesquelles infligent 1d4 de dégâts tranchants."
  },
"GOLIATH-Athlète naturel":  {
 "Code" : "Athlète naturel",
 "Race" : "GOLIATH",
 "SubRace" : "","Stats" : true,
 "Description" : "Vous maîtrisez la compétence Athlétisme."
  },
"GOLIATH-Endurance de la pierre":  {
 "Code" : "Endurance de la pierre",
 "Race" : "GOLIATH",
 "SubRace" : "","UseNumber" : -1,
 "Description" : "Vous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
  },
"GOLIATH-Puissamment bâtit":  {
 "Code" : "Puissamment bâtit",
 "Race" : "GOLIATH",
 "SubRace" : "","UseNumber" : -1,
 "Description" : "Vous comptez comme étant plus grand d'une taille pour déterminer votre capacité de charge et le poids que vous pouvez pousser, traîner ou soulever."
  },
"GOLIATH-Montagnard":  {
 "Code" : "Montagnard",
 "Race" : "GOLIATH",
 "SubRace" : "","UseNumber" : -1,
 "Description" : "Vous êtes habitué aux hautes altitudes, y compris des altitudes supérieures à 6000 mètres. Vous êtes aussi naturellement habitué aux climats froids, comme décrit dans le chapitre 5 du Guide du Maître."
  },
"CHANGELIN-Changement d'apparence":  {
 "Code" : "Changement d'apparence",
 "Race" : "CHANGELIN",
 "SubRace" : "","UseNumber" : -1,
 "Description" : "Par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
  },
"CHANGELIN-Instincts de changelin":  {
 "Code" : "Instincts de changelin",
 "Race" : "CHANGELIN",
 "SubRace" : "","Stats" : true,
 "Description" : "Vous gagnez la maîtrise de deux des compétences suivantes de votre choix : Intimidation, Perspicacité, Persuasion ou Tromperie."
  },
"CHANGELIN-Visage dérangeant":  {
 "Code" : "Visage dérangeant",
 "Race" : "CHANGELIN",
 "SubRace" : "","UseNumber" : 1,
 "Description" : "Quand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
  },
"CHANGELIN-Personnage divergent":  {
 "Code" : "Personnage divergent",
 "Race" : "CHANGELIN",
 "SubRace" : "","UseNumber" : -1,
 "Description" : "Vous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
  },
"KALASHTAR-Dualité":  {
 "Code" : "Dualité",
 "Race" : "KALASHTAR",
 "SubRace" : "","UseNumber" : -1,
 "Description" : "Lorsque vous effectuez un jet de sauvegarde de Sagesse, vous pouvez utiliser votre réaction pour obtenir un avantage sur le jet. Vous pouvez utiliser ce trait immédiatement avant ou après avoir lancé les dés, mais avant que les effets du jet ne se produisent."
  },
"KALASHTAR-Discipline mental":  {
 "Code" : "Discipline mental",
 "Race" : "KALASHTAR",
 "SubRace" : "","Stats" : true,
 "Description" : "Vous avez la résistance aux dégâts psychiques."
  },
"KALASHTAR-Lien de l'esprit":  {
 "Code" : "Lien de l'esprit",
 "Race" : "KALASHTAR",
 "SubRace" : "","UseNumber" : -1,
 "Description" : "Vous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v>
      </c>
    </row>
    <row r="136" spans="1:9">
      <c r="A136" s="55"/>
      <c r="B136" s="18"/>
      <c r="I136" t="str">
        <f>CONCATENATE(I2,",
",I3,",
",I4,",
",I5,",
",I6,",
",I7,",
",I8,",
",I9,",
",I10,",
",I11,",
",I12,",
",I13,",
",I14,",
",I15,",
",I16,",
",I17,",
",I18,",
",I19,",
",I20,",
",I21,",
",I22,",
",I23,",
",I24,",
",I25,",
",I26,",
",I27,",
",I28,",
",I29,",
",I30,",
",I31,",
",I32,",
",I33,",
",I34,",
",I35,",
",I36,",
",I37,",
",I38,",
",I39,",
",I40,",
",I41,",
",I42,",
",I43,",
",I44,",
",I45,",
",I46,",
",I47,",
",I48,",
",I49,",
",I50,",
",I51,",
",I52,",
",I53,",
",I54,",
",I55,",
",I56,",
",I57,",
",I58,",
",I59,",
",I60,",
",I61,",
",I62,",
",I63,",
",I64,",
",I66,",
",I67,",
",I68,",
",I69,",
",I70,",
",I71,",
",I72)</f>
        <v>"AIR_GENASI-Souffle sans fin":  {
 "Code" : "Souffle sans fin",
 "Race" : "",
 "SubRace" : "AIR_GENASI","UseNumber" : -1,
 "Description" : "Vous pouvez retenir votre respiration indéfiniment tant que vous n’êtes pas incapable d'agir."
  },
"AIR_GENASI-Se mêler au vent":  {
 "Code" : "Se mêler au vent",
 "Race" : "",
 "SubRace" : "AIR_GENASI","UseNumber" : 1,
 "Description" : "Vous pouvez lancer le sort lévitation une fois, sans composante matérielle, et vous regagnez la capacité de le relancer ainsi après un repos long. La Constitution est votre caractéristique d'incantation pour ce sort."
  },
"EARTH_GENASI-Marche de la terre":  {
 "Code" : "Marche de la terre",
 "Race" : "",
 "SubRace" : "EARTH_GENASI","UseNumber" : -1,
 "Description" : "Vous pouvez vous déplacer sur des terrains difficiles faits de pierre ou de terre sans dépenser de mouvement supplémentaire."
  },
"EARTH_GENASI-Fusionner avec la pierre":  {
 "Code" : "Fusionner avec la pierre",
 "Race" : "",
 "SubRace" : "EARTH_GENASI","UseNumber" : 1,
 "Description" : "Vous pouvez lancer le sort passage sans trace une fois, sans composante matérielle, et vous regagnez la capacité de le relancer ainsi après un repos long. La Constitution est votre caractéristique d'incantation pour ce sort."
  },
"FIRE_GENASI-Résistance au feu":  {
 "Code" : "Résistance au feu",
 "Race" : "",
 "SubRace" : "FIRE_GENASI","Stats" : true,"Auto" : true,
 "Description" : "Vous avez la résistance aux dégâts de feu."
  },
"FIRE_GENASI-Atteindre le brasier":  {
 "Code" : "Atteindre le brasier",
 "Race" : "",
 "SubRace" : "FIRE_GENASI","UseNumber" : 1,"RequiredLevel" : 3,
 "Description" : "Vous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
  },
"WATER_GENASI-Résistance à l’acide":  {
 "Code" : "Résistance à l’acide",
 "Race" : "",
 "SubRace" : "WATER_GENASI","Stats" : true,"Auto" : true,
 "Description" : "Vous avez la résistance aux dégâts d’acide."
  },
"WATER_GENASI-Amphibien":  {
 "Code" : "Amphibien",
 "Race" : "",
 "SubRace" : "WATER_GENASI","UseNumber" : -1,
 "Description" : "Vous pouvez respirer aussi bien dans l'air que sous l'eau."
  },
"WATER_GENASI-Nage":  {
 "Code" : "Nage",
 "Race" : "",
 "SubRace" : "WATER_GENASI","UseNumber" : -1,
 "Description" : "Votre vitesse de nage est de 9 mètres."
  },
"WATER_GENASI-Appeler la vague":  {
 "Code" : "Appeler la vague",
 "Race" : "",
 "SubRace" : "WATER_GENASI","UseNumber" : 1,"RequiredLevel" : 3,
 "Description" : "Vous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
  },
"ELF-Vision dans le noir":  {
 "Code" : "Vision dans le noir",
 "Race" : "ELF",
 "SubRace" : "","UseNumber" : -1,
 "Description" : "Vous pouvez voir à 18 mètres dans une lumière faible comme vous verriez avec une lumière vive, et dans le noir comme vous verriez avec une lumière faible. Dans le noir, vous ne discernez pas les couleurs, uniquement des nuances de gris."
  },
"ELF-Sens aiguisés":  {
 "Code" : "Sens aiguisés",
 "Race" : "ELF",
 "SubRace" : "","Stats" : true,
 "Description" : "Vous maîtrisez la compétence Perception."
  },
"ELF-Ascendance féerique":  {
 "Code" : "Ascendance féerique",
 "Race" : "ELF",
 "SubRace" : "","Stats" : true,
 "Description" : "Vous avez un avantage aux jets de sauvegarde contre les effets de charme et la magie ne peut pas vous endormir."
  },
"ELF-Transe":  {
 "Code" : "Transe",
 "Race" : "ELF",
 "SubRace" : "","UseNumber" : -1,
 "Description" : "Les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
  },
"HIGH_ELF-Cachette naturelle":  {
 "Code" : "Cachette naturelle",
 "Race" : "",
 "SubRace" : "HIGH_ELF","UseNumber" : -1,
 "Description" : "Vous pouvez tenter de vous cacher dans une zone à visibilité réduite, comme en présence de branchages, de forte pluie, de neige qui tombe, de brume ou autre phénomène naturel."
  },
"HIGH_ELF-Entraînement aux armes elfiques":  {
 "Code" : "Entraînement aux armes elfiques",
 "Race" : "",
 "SubRace" : "HIGH_ELF","Stats" : true,"Auto" : true,
 "Description" : "Vous obtenez la maîtrise des épées (longues et courtes) et des arcs (longs et courts)."
  },
"DROW-Vision dans le noir supérieure":  {
 "Code" : "Vision dans le noir supérieure",
 "Race" : "",
 "SubRace" : "DROW","UseNumber" : -1,
 "Description" : "Votre vision dans le noir est étendue à 36 mètres."
  },
"DROW-Sensibilité à la lumière du soleil":  {
 "Code" : "Sensibilité à la lumière du soleil",
 "Race" : "",
 "SubRace" : "DROW","UseNumber" : -1,
 "Description" : "Vous avez un désavantage aux jets d'attaque et aux jets de Sagesse (Perception) basés sur ​​la vue quand vous, la cible de l'attaque ou ce que vous essayez de détecter est exposé à la lumière du soleil."
  },
"DROW-Entraînement aux armes drows":  {
 "Code" : "Entraînement aux armes drows",
 "Race" : "",
 "SubRace" : "DROW","Stats" : true,"Auto" : true,
 "Description" : "Vous obtenez la maîtrise des rapières, des épées courtes et des arbalètes de poing"
  },
"DROW-Magie drow":  {
 "Code" : "Magie drow",
 "Race" : "",
 "SubRace" : "DROW","UseNumber" : 1,"RequiredLevel" : 3,
 "Description" : "Vous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
  },
"WOODEN_ELF-Entraînement aux armes elfiques":  {
 "Code" : "Entraînement aux armes elfiques",
 "Race" : "",
 "SubRace" : "WOODEN_ELF","Stats" : true,"Auto" : true,
 "Description" : "Vous obtenez la maîtrise des épées (longues et courtes) et des arcs (longs et courts)."
  },
"GRUGACH-Sorts mineurs":  {
 "Code" : "Sorts mineurs",
 "Race" : "",
 "SubRace" : "GRUGACH","Stats" : true,
 "Description" : "Vous connaissez un sort mineur de votre choix parmi la liste des sorts mineurs de druide. La Sagesse est votre caractéristique d'incantation pour ces sorts."
  },
"AQUATIC_ELF-Enfant de la mer":  {
 "Code" : "Enfant de la mer",
 "Race" : "",
 "SubRace" : "AQUATIC_ELF","UseNumber" : -1,
 "Description" : "Vous avez une vitesse de nage de 9 mètres, et vous pouvez respirer sous l'eau comme dans l'air."
  },
"AQUATIC_ELF-Ami de la mer":  {
 "Code" : "Ami de la mer",
 "Race" : "",
 "SubRace" : "AQUATIC_ELF","UseNumber" : -1,
 "Description" : "À l'aide de gestes et de sons, vous pouvez communiquer des idées simples à des créatures de taille Petite ou inférieure qui ont une vitesse de nage innée."
  },
"AVARIEL-Vol":  {
 "Code" : "Vol",
 "Race" : "",
 "SubRace" : "AVARIEL","UseNumber" : -1,
 "Description" : "Vous avez une vitesse de vol de 9 mètres. Pour utiliser cette vitesse, vous ne devez pas porter d'armure intermédiaire ou lourde."
  },
"SHADAR_KAI-Bénédiction de la Reine Corneille":  {
 "Code" : "Bénédiction de la Reine Corneille",
 "Race" : "",
 "SubRace" : "SHADAR_KAI","UseNumber" : 1,
 "Description" : "Par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
  },
"SHADAR_KAI-Sorts mineurs":  {
 "Code" : "Sorts mineurs",
 "Race" : "",
 "SubRace" : "SHADAR_KAI","Stats" : true,
 "Description" : "Vous connaissez un sort mineur de votre choix parmi contact glacial, stabilisation et thaumaturgie. Le Charisme est votre caractéristique d'incantation pour ces sorts."
  },
"HALFELIN-Chanceux":  {
 "Code" : "Chanceux",
 "Race" : "HALFELIN",
 "SubRace" : "","UseNumber" : -1,
 "Description" : "Lorsque vous obtenez un 1 au dé d'un jet d'attaque, de caractéristique ou de sauvegarde, vous pouvez relancer le dé et devez alors utiliser ce nouveau résultat."
  },
"HALFELIN-Vaillant":  {
 "Code" : "Vaillant",
 "Race" : "HALFELIN",
 "SubRace" : "","Stats" : true,
 "Description" : "Vous avez un avantage aux jets de sauvegarde pour ne pas être effrayé."
  },
"HALFELIN-Agilité halfeline":  {
 "Code" : "Agilité halfeline",
 "Race" : "HALFELIN",
 "SubRace" : "","UseNumber" : -1,
 "Description" : "Vous pouvez passer dans l'espace de toute créature d'une taille supérieure à la vôtre"
  },
"LIGHT_FOOT_HALFELIN-Discrétion naturelle":  {
 "Code" : "Discrétion naturelle",
 "Race" : "",
 "SubRace" : "LIGHT_FOOT_HALFELIN",
 "Description" : "Vous pouvez tenter de vous cacher si vous vous trouvez derrière une créature d'une taille supérieure à la vôtre."
  },
"ROBUST_HALFELIN-Résistance des robustes":  {
 "Code" : "Résistance des robustes",
 "Race" : "",
 "SubRace" : "ROBUST_HALFELIN","Stats" : true,"Auto" : true,
 "Description" : "Vous obtenez un avantage aux jets de sauvegarde contre le poison et la résistance contre les dégâts de poison."
  },
"DWARF-Vision dans le noir":  {
 "Code" : "Vision dans le noir",
 "Race" : "DWARF",
 "SubRace" : "","UseNumber" : -1,
 "Description" : "Habitué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
  },
"DWARF-Résistance naine":  {
 "Code" : "Résistance naine",
 "Race" : "DWARF",
 "SubRace" : "","Stats" : true,"Auto" : true,
 "Description" : "Vous avez un avantage aux jets de sauvegarde contre le poison et obtenez la résistance contre les dégâts de poison."
  },
"DWARF-Entraînement aux armes naines":  {
 "Code" : "Entraînement aux armes naines",
 "Race" : "DWARF",
 "SubRace" : "","Stats" : true,"Auto" : true,
 "Description" : "Vous obtenez la maîtrise des hachettes, des haches d'armes, des marteaux légers et des marteaux de guerre."
  },
"DWARF-Maîtrise des outils":  {
 "Code" : "Maîtrise des outils",
 "Race" : "DWARF",
 "SubRace" : "","Stats" : true,
 "Description" : "Vous obtenez la maîtrise d'un des outils d'artisan suivant au choix : outils de forgeron, outils de brasseur ou outils de maçon."
  },
"DWARF-Connaissance de la pierre":  {
 "Code" : "Connaissance de la pierre",
 "Race" : "DWARF",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
"HILLS_DWARF-Robustesse naine":  {
 "Code" : "Robustesse naine",
 "Race" : "",
 "SubRace" : "HILLS_DWARF","Stats" : true,
 "Description" : "Vos points de vie maximums augmentent de 1 à chaque niveau."
  },
"MONTAINS_DWARF-Formation au port des armures naines":  {
 "Code" : "Formation au port des armures naines",
 "Race" : "",
 "SubRace" : "MONTAINS_DWARF","Stats" : true,"Auto" : true,
 "Description" : "Vous maîtrisez les armures légères et intermédiaires."
  },
"HALF_ELF-Vision dans le noir":  {
 "Code" : "Vision dans le noir",
 "Race" : "HALF_ELF",
 "SubRace" : "","UseNumber" : -1,
 "Description" : "Grâce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"HALF_ELF-Ascendance féerique":  {
 "Code" : "Ascendance féerique",
 "Race" : "HALF_ELF",
 "SubRace" : "","Stats" : true,"Auto" : true,
 "Description" : "Vous avez un avantage aux jets de sauvegarde contre les effets de charme et la magie ne peut pas vous endormir."
  },
"HALF_ELF-Polyvalence":  {
 "Code" : "Polyvalence",
 "Race" : "HALF_ELF",
 "SubRace" : "","Stats" : true,
 "Description" : "Vous gagnez la maîtrise de deux compétences de votre choix."
  },
"HALF_ORC-Vision dans le noir":  {
 "Code" : "Vision dans le noir",
 "Race" : "HALF_ORC",
 "SubRace" : "","UseNumber" : -1,
 "Description" : "Grâce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"HALF_ORC-Menaçant":  {
 "Code" : "Menaçant",
 "Race" : "HALF_ORC",
 "SubRace" : "","Stats" : true,
 "Description" : "Vous gagnez la maîtrise de la compétence Intimidation."
  },
"HALF_ORC-Endurance implacable":  {
 "Code" : "Endurance implacable",
 "Race" : "HALF_ORC",
 "SubRace" : "","UseNumber" : -1,
 "Description" : "Lorsque vous tombez à 0 point de vie, mais que vous n'êtes pas tué sur le coup, vous pouvez passer à 1 point de vie à la place. Vous devez terminer un repos long avant de pouvoir utiliser cette capacité de nouveau."
  },
"HALF_ORC-Attaques sauvages":  {
 "Code" : "Attaques sauvages",
 "Race" : "HALF_ORC",
 "SubRace" : "","UseNumber" : -1,
 "Description" : "Lorsque vous réalisez un coup critique lors d'une attaque au corps à corps avec une arme, vous pouvez jeter l'un des dés de dégâts de l'arme une deuxième fois et l'ajouter aux dégâts supplémentaires du coup critique."
  },
"DRAGON_BORN-Souffle":  {
 "Code" : "Souffle",
 "Race" : "DRAGON_BORN",
 "SubRace" : "","UseNumber" : -1,
 "Description" : "Vous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
  },
"DRAGON_BORN-Résistance aux dégâts":  {
 "Code" : "Résistance aux dégâts",
 "Race" : "DRAGON_BORN",
 "SubRace" : "","Stats" : true,"Auto" : true,
 "Description" : "Vous obtenez la résistance au type de dégâts associé à votre ascendance draconique."
  },
"GNOME-Vision dans le noir":  {
 "Code" : "Vision dans le noir",
 "Race" : "GNOME",
 "SubRace" : "","UseNumber" : -1,
 "Description" : "Habitué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"GNOME-Ruse gnome":  {
 "Code" : "Ruse gnome",
 "Race" : "GNOME",
 "SubRace" : "","Stats" : true,"Auto" : true,
 "Description" : "Vous avez un avantage aux jets de sauvegarde d'Intelligence, de Sagesse et de Charisme contre la magie."
  },
"FORESTS_GNOME-Illusionniste-né":  {
 "Code" : "Illusionniste-né",
 "Race" : "",
 "SubRace" : "FORESTS_GNOME","UseNumber" : -1,
 "Description" : "Vous connaissez le sort mineur illusion mineure. L'Intelligence est votre caractéristique d'incantation pour ce sort."
  },
"FORESTS_GNOME-Communication avec les petits animaux":  {
 "Code" : "Communication avec les petits animaux",
 "Race" : "",
 "SubRace" : "FORESTS_GNOME","UseNumber" : -1,
 "Description" : "À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
  },
"ROCKS_GNOME-Connaissance en ingénierie":  {
 "Code" : "Connaissance en ingénierie",
 "Race" : "",
 "SubRace" : "ROCKS_GNOME","UseNumber" : -1,
 "Description" : "Chaque fois que vous effectuez un jet d'Intelligence (Histoire) en relation avec l'alchimie, des objets magiques ou des dispositifs technologiques, ajoutez le double de votre bonus de maîtrise au jet, au lieu du bonus de maîtrise normal."
  },
"ROCKS_GNOME-Bricoleur":  {
 "Code" : "Bricoleur",
 "Race" : "",
 "SubRace" : "ROCKS_GNOME","UseNumber" : -1,
 "Description" : "Vous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
  },
"DEPTH_GNOME-Vision dans le noir supérieure":  {
 "Code" : "Vision dans le noir supérieure",
 "Race" : "",
 "SubRace" : "DEPTH_GNOME","UseNumber" : -1,
 "Description" : "Votre vision dans le noir a une portée de 36 mètres."
  },
"DEPTH_GNOME-Ruse gnome":  {
 "Code" : "Ruse gnome",
 "Race" : "",
 "SubRace" : "DEPTH_GNOME","Stats" : true,"Auto" : true,
 "Description" : "Vous avez l'avantage aux jets de sauvegarde d'Intelligence, de Sagesse et de Charisme contre la magie."
  },
"DEPTH_GNOME-Teint pierreux":  {
 "Code" : "Teint pierreux",
 "Race" : "",
 "SubRace" : "DEPTH_GNOME","UseNumber" : -1,
 "Description" : "Vous avez l'avantage aux jets de Dextérité (Discrétion) pour vous cacher sur un terrain rocheux."
  },
"TIEFFLING-Vision dans le noir":  {
 "Code" : "Vision dans le noir",
 "Race" : "TIEFFLING",
 "SubRace" : "","UseNumber" : -1,
 "Description" : "Grâce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"TIEFFLING-Résistance infernale":  {
 "Code" : "Résistance infernale",
 "Race" : "TIEFFLING",
 "SubRace" : "","Stats" : true,"Auto" : true,
 "Description" : "Vous avez la résistance aux dégâts de feu."
  },
"TIEFFLING_0-Ascendance infernale":  {
 "Code" : "Ascendance infernale",
 "Race" : "",
 "SubRace" : "TIEFFLING_0","Stats"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"TIEFFLING_ASMODEUS-Ascendance infernale":  {
 "Code" : "Ascendance infernale",
 "Race" : "",
 "SubRace" : "TIEFFLING_ASMODEUS","Stats"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"TIEFFLING_BEELZEBUB-Ascendance de Maladomini":  {
 "Code" : "Ascendance de Maladomini",
 "Race" : "",
 "SubRace" : "TIEFFLING_BEELZEBUB","Stats" : true,"Auto" : true,"UseNumber" : 1,
 "Description" : "Vous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
  },
"TIEFFLING_DISPAT-Ascendance de Dis":  {
 "Code" : "Ascendance de Dis",
 "Race" : "",
 "SubRace" : "TIEFFLING_DISPAT","Stats" : true,"Auto" : true,"UseNumber" : 1,
 "Description" : "Vous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"TIEFFLING_FIERNA-Ascendance de Phlegethos":  {
 "Code" : "Ascendance de Phlegethos",
 "Race" : "",
 "SubRace" : "TIEFFLING_FIERNA","Stats" : true,"Auto" : true,"UseNumber" : 1,
 "Description" : "Vous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
  },
"TIEFFLING_GLASYA-Ascendance de Malbolge":  {
 "Code" : "Ascendance de Malbolge",
 "Race" : "",
 "SubRace" : "TIEFFLING_GLASYA","Stats" : true,"Auto" : true,"UseNumber" : 1,
 "Description" : "Vous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"TIEFFLING_LEVISTUS-Ascendance de Stygia":  {
 "Code" : "Ascendance de Stygia",
 "Race" : "",
 "SubRace" : "TIEFFLING_LEVISTUS","Stats" : true,"Auto" : true,"UseNumber" : 1,
 "Description" : "Vous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
  },
"TIEFFLING_MAMMON-Ascendance de Minauros":  {
 "Code" : "Ascendance de Minauros",
 "Race" : "",
 "SubRace" : "TIEFFLING_MAMMON","Stats" : true,"Auto" : true,"UseNumber" : 1,
 "Description" : "Vous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
  },
"TIEFFLING_MEPHISTOPHELES-Ascendance de Cania":  {
 "Code" : "Ascendance de Cania",
 "Race" : "",
 "SubRace" : "TIEFFLING_MEPHISTOPHELES","Stats" : true,"Auto" : true,"UseNumber" : 1,
 "Description" : "Vous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
  },
"TIEFFLING_ZARIEL-Ascendance d'Avernus":  {
 "Code" : "Ascendance d'Avernus",
 "Race" : "",
 "SubRace" : "TIEFFLING_ZARIEL","Stats" : true,"Auto" : true,"UseNumber" : 1,
 "Description" : "Vous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
  },
"AARAKOCRA-Vol":  {
 "Code" : "Vol",
 "Race" : "AARAKOCRA",
 "SubRace" : "","UseNumber" : -1,
 "Description" : "Vous avez une vitesse de vol de 15 mètres par round. Pour utiliser cette vitesse, vous ne devez par porter d'armure moyenne ou lourde."
  }</v>
      </c>
    </row>
    <row r="137" spans="1:9">
      <c r="A137" s="55"/>
      <c r="B137" s="18"/>
      <c r="H137"/>
      <c r="I137" t="str">
        <f>CONCATENATE(",
",I73,",
",I74,",
",I75,",
",I76,",
",I77,",
",I78,",
",I79,",
",I80,",
",I81,",
",I82,",
",I83,",
",I84,",
",I85,",
",I86,",
",I87,",
",I88,",
",I89,",
",I90,",
",I91,",
",I92,",
",I93,",
",I94,",
",I95,",
",I96,",
",I97,",
",I98,",
",I99,",
",I100,",
",I101,",
",I102,",
",I103,",
",I104,",
",I105,",
",I106,",
",I107,",
",I108,",
",I109,",
",I110,",
",I111,",
",I112,",
",I113,",
",I114,",
",I115,",
",I116,",
",I117,",
",I118,",
",I119,",
",I120,",
",I121,",
",I122,",
",I123,",
",I124,",
",I125,",
",I126,",
",I127,",
",I128,",
",I129,",
",I130)</f>
        <v>,
"AARAKOCRA-Serre":  {
 "Code" : "Serre",
 "Race" : "AARAKOCRA",
 "SubRace" : "","UseNumber" : -1,
 "Description" : "Vous maîtrisez vos armes naturelles, lesquelles infligent 1d4 de dégâts tranchants."
  },
"GOLIATH-Athlète naturel":  {
 "Code" : "Athlète naturel",
 "Race" : "GOLIATH",
 "SubRace" : "","Stats" : true,
 "Description" : "Vous maîtrisez la compétence Athlétisme."
  },
"GOLIATH-Endurance de la pierre":  {
 "Code" : "Endurance de la pierre",
 "Race" : "GOLIATH",
 "SubRace" : "","UseNumber" : -1,
 "Description" : "Vous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
  },
"GOLIATH-Puissamment bâtit":  {
 "Code" : "Puissamment bâtit",
 "Race" : "GOLIATH",
 "SubRace" : "","UseNumber" : -1,
 "Description" : "Vous comptez comme étant plus grand d'une taille pour déterminer votre capacité de charge et le poids que vous pouvez pousser, traîner ou soulever."
  },
"GOLIATH-Montagnard":  {
 "Code" : "Montagnard",
 "Race" : "GOLIATH",
 "SubRace" : "","UseNumber" : -1,
 "Description" : "Vous êtes habitué aux hautes altitudes, y compris des altitudes supérieures à 6000 mètres. Vous êtes aussi naturellement habitué aux climats froids, comme décrit dans le chapitre 5 du Guide du Maître."
  },
"CHANGELIN-Changement d'apparence":  {
 "Code" : "Changement d'apparence",
 "Race" : "CHANGELIN",
 "SubRace" : "","UseNumber" : -1,
 "Description" : "Par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
  },
"CHANGELIN-Instincts de changelin":  {
 "Code" : "Instincts de changelin",
 "Race" : "CHANGELIN",
 "SubRace" : "","Stats" : true,
 "Description" : "Vous gagnez la maîtrise de deux des compétences suivantes de votre choix : Intimidation, Perspicacité, Persuasion ou Tromperie."
  },
"CHANGELIN-Visage dérangeant":  {
 "Code" : "Visage dérangeant",
 "Race" : "CHANGELIN",
 "SubRace" : "","UseNumber" : 1,
 "Description" : "Quand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
  },
"CHANGELIN-Personnage divergent":  {
 "Code" : "Personnage divergent",
 "Race" : "CHANGELIN",
 "SubRace" : "","UseNumber" : -1,
 "Description" : "Vous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
  },
"KALASHTAR-Dualité":  {
 "Code" : "Dualité",
 "Race" : "KALASHTAR",
 "SubRace" : "","UseNumber" : -1,
 "Description" : "Lorsque vous effectuez un jet de sauvegarde de Sagesse, vous pouvez utiliser votre réaction pour obtenir un avantage sur le jet. Vous pouvez utiliser ce trait immédiatement avant ou après avoir lancé les dés, mais avant que les effets du jet ne se produisent."
  },
"KALASHTAR-Discipline mental":  {
 "Code" : "Discipline mental",
 "Race" : "KALASHTAR",
 "SubRace" : "","Stats" : true,
 "Description" : "Vous avez la résistance aux dégâts psychiques."
  },
"KALASHTAR-Lien de l'esprit":  {
 "Code" : "Lien de l'esprit",
 "Race" : "KALASHTAR",
 "SubRace" : "","UseNumber" : -1,
 "Description" : "Vous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moins de vous et être capable de vous voir."
  },
"KALASHTAR-Glamour psychique":  {
 "Code" : "Glamour psychique",
 "Race" : "KALASHTAR",
 "SubRace" : "","Stats" : true,
 "Description" : "Choisissez l'une des compétences suivantes : Perspicacité, Intimidation, Représentation ou Persuasion. Vous avez un avantage à tous vos jets de caractéristiques faits avec cette compétence."
  },
"KALASHTAR-Séparé des rêves":  {
 "Code" : "Séparé des rêves",
 "Race" : "KALASHTAR",
 "SubRace" : "","UseNumber" : -1,
 "Description" : "Les kalashtars dorment mais ne se connectent pas au plan des rêves comme les autres créatures. Au lieu de cela, leur esprit puise dans les souvenirs de leur esprit d'un autre monde pendant leur sommeil. En tant que tel, vous êtes immunisé contre les sorts et autres effets magiques qui vous obligent à rêver, comme le sort rêve, mais pas aux sorts et aux effets qui vous endorment, comme le sort de sommeil."
  },
"FERAL-Vision dans le noir":  {
 "Code" : "Vision dans le noir",
 "Race" : "FERAL",
 "SubRace" : "","UseNumber" : -1,
 "Description" : "Vous pouvez voir avec une lumière faible jusqu'à 18 mètres comme vous verriez avec une lumière vive, et dans le noir comme vous verriez avec une lumière faible. Dans le noir, vous ne discernez pas les couleurs, uniquement des nuances de gris."
  },
"FERAL-Sens aiguisés":  {
 "Code" : "Sens aiguisés",
 "Race" : "FERAL",
 "SubRace" : "","Stats" : true,"Auto" : true,
 "Description" : "Vous maîtrisez la compétence Perception."
  },
"FERAL-Changement":  {
 "Code" : "Changement",
 "Race" : "FERAL",
 "SubRace" : "","UseNumber" : 1,
 "Description" : "Par une action bonus, vous pouvez prendre une apparence plus bestiale. La transformation dure 1 minute, jusqu'à ce que vous mouriez, ou jusqu'à ce que vous reveniez à votre apparence normale par une action bonus. Pendant le changement, vous gagnez des points de vie temporaires égaux à votre niveau + votre bonus de Constitution (minimum 1 pv temporaire). Vous gagnez aussi des caractéristiques qui dépendent de votre sous-race de féral. Vous devez terminer un repos court ou long avant de pouvoir utiliser à nouveau la capacité de Changement."
  },
"FERAL_ANIMAL_SKIN-Robuste":  {
 "Code" : "Robuste",
 "Race" : "",
 "SubRace" : "FERAL_ANIMAL_SKIN","Stats" : true,"Auto" : true,
 "Description" : "Vous maîtrisez la compétence Athlétisme."
  },
"FERAL_ANIMAL_SKIN-Capacité de changement":  {
 "Code" : "Capacité de changement",
 "Race" : "",
 "SubRace" : "FERAL_ANIMAL_SKIN","UseNumber" : 1,
 "Description" : "Lors de votre changement, vous gagnez 1d6 points de vie temporaires additionnels et un bonus de +1 a la CA."
  },
"FERAL_LONG_TEETH-Furieux":  {
 "Code" : "Furieux",
 "Race" : "",
 "SubRace" : "FERAL_LONG_TEETH","Stats" : true,"Auto" : true,
 "Description" : "Vous maîtrisez la compétence Intimidation."
  },
"FERAL_LONG_TEETH-Capacité de changement":  {
 "Code" : "Capacité de changement",
 "Race" : "",
 "SubRace" : "FERAL_LONG_TEETH","UseNumber"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
"FERAL_LONG_STRIDE-Gracieux":  {
 "Code" : "Gracieux",
 "Race" : "",
 "SubRace" : "FERAL_LONG_STRIDE","Stats" : true,"Auto" : true,
 "Description" : "Vous maîtrisez la compétence Acrobatie."
  },
"FERAL_LONG_STRIDE-Foulée rapide":  {
 "Code" : "Foulée rapide",
 "Race" : "",
 "SubRace" : "FERAL_LONG_STRIDE","Stats" : true,"Auto" : true,
 "Description" : "Votre vitesse de marche augmente de 1,50 mètre."
  },
"FERAL_LONG_STRIDE-Capacité de changement":  {
 "Code" : "Capacité de changement",
 "Race" : "",
 "SubRace" : "FERAL_LONG_STRIDE","UseNumber"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
"FERAL_WILD_HUNT-Traqueur inné":  {
 "Code" : "Traqueur inné",
 "Race" : "",
 "SubRace" : "FERAL_WILD_HUNT","Stats" : true,"Auto" : true,
 "Description" : "Vous maîtrisez la compétence Survie."
  },
"FERAL_WILD_HUNT-Fixer le parfum":  {
 "Code" : "Fixer le parfum",
 "Race" : "",
 "SubRace" : "FERAL_WILD_HUNT","UseNumber"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
"FERAL_WILD_HUNT-Capacité de changement":  {
 "Code" : "Capacité de changement",
 "Race" : "",
 "SubRace" : "FERAL_WILD_HUNT","UseNumber" : 1,
 "Description" : "Pendant votre changement, vous gagnez un avantage aux jets de Sagesse."
  },
"WARFORGED-Résistance des forgeliers":  {
 "Code" : "Résistance des forgeliers",
 "Race" : "WARFORGED",
 "SubRace" : "","Stats" : true,
 "Description" : "Vous avez été créé pour avoir une force étonnante, qui est représentée par les avantages suivants :  Vous avez un avantage aux jets de sauvegarde contre la condition empoisonné et la résistance aux dégâts de poison. Vous n'avez pas besoin de manger, ni de boire ni de respirer. Vous êtes immunisé contre les maladies. Vous n'avez pas besoin de dormir et la magie ne peut pas vous endormir."
  },
"WARFORGED-Repos de la sentinelle":  {
 "Code" : "Repos de la sentinelle",
 "Race" : "WARFORGED",
 "SubRace" : "","UseNumber" : -1,
 "Description" : "Lorsque vous prenez un repos long, vous devez passer au moins six heures dans un état inactif et immobile plutôt que de dormir. Dans cet état, vous semblez inerte, mais cela ne vous rend pas inconscient, et vous pouvez voir et entendre normalement."
  },
"WARFORGED-Protection intégrée":  {
 "Code" : "Protection intégrée",
 "Race" : "WARFORGED",
 "SubRace" : "","Stats" : true,
 "Description" : "Votre corps possède des couches de protection intégrée qui peuvent être améliorées par une armure :  Vous gagnez un bonus de +1 à la Classe d'Armure. Vous ne pouvez mettre une armure que si vous la maîtrisez. Pour mettre une armure, vous devez l'incorporer à votre corps. Cela vous prend 1 heure, durant laquelle vous restez en contact avec l'armure. Quitter une armure vous prend également 1 heure. Vous pouvez vous reposer pendant que vous mettez ou quittez une armure de cette manière. Tant que vous êtes en vie, votre armure ne peut pas être quittée de votre corps contre votre volonté."
  },
"WARFORGED-Conception spécialisée":  {
 "Code" : "Conception spécialisée",
 "Race" : "WARFORGED",
 "SubRace" : "","Stats" : true,
 "Description" : "Vous obtenez la maîtrise d'une compétence de votre choix et d'un outil de votre choix."
  },
"LOXODON-Armure naturelle":  {
 "Code" : "Armure naturelle",
 "Race" : "LOXODON",
 "SubRace" : "","Stats" : true,
 "Description" : "Vous avez une peau épaisse et coriace. Lorsque vous ne portez pas d'armure, votre CA est de 13 + votre modificateur de Dextérité. Vous pouvez utiliser votre armure naturelle pour déterminer votre CA si l'armure que vous portez vous laisse avec une CA inférieure. Les avantages du bouclier s'appliquent normalement."
  },
"LOXODON-Connaissance de la pierre":  {
 "Code" : "Connaissance de la pierre",
 "Race" : "LOXODON",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
"LOXODON-Courage loxodon":  {
 "Code" : "Courage loxodon",
 "Race" : "LOXODON",
 "SubRace" : "","Stats" : true,"Auto" : true,
 "Description" : "Vous avez un avantage aux jets de sauvegarde effectués pour ne pas être effrayé."
  },
"LOXODON-Maçon compétent":  {
 "Code" : "Maçon compétent",
 "Race" : "LOXODON",
 "SubRace" : "","Stats" : true,
 "Description" : "Vous maîtrisez les outils de maçon."
  },
"LOXODON-Odorat précis":  {
 "Code" : "Odorat précis",
 "Race" : "LOXODON",
 "SubRace" : "","UseNumber" : -1,
 "Description" : "Grâce à la sensibilité de votre trompe, vous avez un avantage aux jets de Sagesse (Perception) et d'Intelligence (Investigation) basés sur l'odeur."
  },
"LOXODON-Puissamment bâtit":  {
 "Code" : "Puissamment bâtit",
 "Race" : "LOXODON",
 "SubRace" : "","Stats" : true,
 "Description" : "Vous comptez comme une taille plus grande pour déterminer votre capacité de charge et le poids que vous pouvez pousser, traîner ou soulever."
  },
"SIMIC-Vision dans le noir":  {
 "Code" : "Vision dans le noir",
 "Race" : "SIMIC",
 "SubRace" : "","UseNumber" : -1,
 "Description" : "Vous pouvez voir à 18 mètres dans une lumière faible comme vous verriez avec une lumière vive, et dans le noir comme vous verriez avec une lumière faible. Dans le noir, vous ne discernez pas les couleurs, uniquement des nuances de gris."
  },
"SIMIC-Améliorations animales":  {
 "Code" : "Améliorations animales",
 "Race" : "SIMIC",
 "SubRace" : "","UseNumber" : -1,
 "Description" : "Votre corps a été modifié pour incorporer certaines caractéristiques animales. Choisissez une amélioration animale maintenant.  Adaptation aquatique. Vous pouvez respirer de l'air ou de l'eau, et vous avez une vitesse de nage égale à votre vitesse de marche. Glissade de la raie manta. Vos ailes de raie peuvent ralentir votre chute vous permettre de glisser. Quand vous tombez et n'êtes pas neutralisé, vous pouvez soustraire jusqu'à 30 mètres de la hauteur de chute lors du calcul des dégâts subis, et vous pouvez vous déplacer jusqu'à 2 mètres horizontalement pour chaque mètre que vous descendez. Grimpeur Agile. Vous avez une vitesse d'escalade égale à votre vitesse de marche."
  },
"SIMIC-Améliorations animales II":  {
 "Code" : "Améliorations animales II",
 "Race" : "SIMIC",
 "SubRace" : "","UseNumber" : -1,"RequiredLevel" : 5,
 "Description" : "Choisissez l'une des options suivantes ou choisissez une des options que vous n'avez pas prises au niveau 1 :  Appendices de lutte. Un appendice spécial pousse à côté de chacun de vos bras, vous donnant l'apparence d'un être pourvu de quatre membres supérieurs. Ces appendices sont capables d'infliger des blessures conséquentes et de saisir vos adversaires. Choisissez s'il s'agit d'une paire de longues griffes chitineuses, ou d'une paire de tentacules. Chacun de ces appendices est une arme naturelle, que vous pouvez utiliser pour faire des attaques à mains nues. Si vous touchez, la cible subit des dégâts contondants ou tranchants (selon votre choix) égaux à 1d6 + votre modificateur de Force, au lieu des dégâts normaux d'une attaque réussie à mains nues. Immédiatement après avoir frappé, vous pouvez essayer d'empoigner la cible sur une action bonus. Les appendices sont incapables d'une manipulation de précision, et ne peuvent pas utiliser des armes, des objets magiques, ou autres équipements spécialisés. Carapace. Votre peau à certains endroits est couverte par une épaisse coquille minérale, à l'instar d'un crabe ou d'un coquillage. Vous gagnez un bonus de +1 à la CA lorsque vous ne portez pas d'armure lourde. Cette amélioration n'est pas cumulable à Peau translucide. Crachat acide. Sur une action, vous pouvez pulvériser un jet d'acide de vos glandes buccales, en ciblant une créature ou un objet que vous pouvez voir et situé à 9 mètres ou moins de vous. La cible doit réussir un jet de sauvegarde de Dextérité contre un DD égal à 8 + votre modificateur de Constitution + votre bonus de maîtrise, ou subir 2d10 dégâts d'acide. Les dégâts passent à 3d10 quand vous atteignez le niveau 11, et à 4d10 au niveau 17 (4d10)."
  },
"VEDALKEN-Calme vedalken":  {
 "Code" : "Calme vedalken",
 "Race" : "VEDALKEN",
 "SubRace" : "","Stats" : true,"Auto" : true,
 "Description" : "Vous avez un avantage à tous vos jets de sauvegarde d'Intelligence, de Sagesse et de Charisme."
  },
"VEDALKEN-Précis sans effort":  {
 "Code" : "Précis sans effort",
 "Race" : "VEDALKEN",
 "SubRace" : "","Stats" : true,
 "Description" : "Vous maîtrisez une des compétences suivantes (choisissez) : Arcanes, Escamotage, Histoire, Investigation, Médecine ou Représentation. Vous maîtrisez également un outil de votre choix. De plus, chaque fois que vous faites un jet de caractéristique avec la compétence ou l'outil choisi, lancez un d4 et ajoutez le résultat au total."
  },
"VIASHINO-Morsure":  {
 "Code" : "Morsure",
 "Race" : "VIASHINO",
 "SubRace" : "","UseNumber" : -1,
 "Description" : "Votre gueule garnie de crocs est une arme naturelle, que vous pouvez utiliser pour faire des attaques sans arme. Si vous touchez, vous infligez 1d4 + votre modificateur de Force dégâts perforants, au lieu des dégâts contondants normaux pour une attaque à mains nues."
  },
"VIASHINO-Queue fouettante":  {
 "Code" : "Queue fouettante",
 "Race" : "VIASHINO",
 "SubRace" : "","UseNumber" : -1,
 "Description" : "Votre queue semi-préhensile est munie d'une lame osseuse. Immédiatement après qu'une créature à 1,50 mètre ou moins de vous vous inflige des dégâts avec une attaque de corps à corps, vous pouvez utiliser votre réaction pour faire la frapper à mains nues avec votre queue. Si vous touchez, vous infligez des dégâts tranchants égaux à 1d4 + votre modificateur de Force, au lieu des dégâts contondants normaux pour une attaque à mains nues."
  },
"VIASHINO-Musculature nerveuse":  {
 "Code" : "Musculature nerveuse",
 "Race" : "VIASHINO",
 "SubRace" : "","Stats" : true,
 "Description" : "Vous gagnez la maîtrise de la compétence Acrobatie ou celle de la compétence Discrétion (vous choisissez)."
  },
"LEONID-Vision dans le noir":  {
 "Code" : "Vision dans le noir",
 "Race" : "LEONID",
 "SubRace" : "","UseNumber" : -1,
 "Description" : "Vous pouvez voir avec une lumière faible jusqu'à 18 mètres comme vous verriez avec une lumière vive, et dans le noir comme vous verriez avec une lumière faible. Dans le noir, vous ne discernez pas les couleurs, uniquement des nuances de gris."
  },
"LEONID-Sens aiguisés":  {
 "Code" : "Sens aiguisés",
 "Race" : "LEONID",
 "SubRace" : "","Stats" : true,"Auto" : true,
 "Description" : "Vous maîtrisez la compétence Sens aiguisés."
  },
"LEONID-Rage de lion":  {
 "Code" : "Rage de lion",
 "Race" : "LEONID",
 "SubRace" : "","UseNumber" : 1,
 "Description" : "Par une action bonus, vous pouvez faire ressortir le fauve qui est en vous. La rage ure 1 minute, jusqu'à ce que vous mouriez, ou jusqu'à ce que vous repreniez votre calme normale par une action bonus. Pendant la rage, vous gagnez des points de vie temporaires égaux à votre niveau + votre bonus de Constitution (minimum 1 pv temporaire). Vous devez terminer un repos court ou long avant de pouvoir utiliser à nouveau la capacité de Changement."
  },
"LEONID_HARD_SKIN-Robuste":  {
 "Code" : "Robuste",
 "Race" : "",
 "SubRace" : "LEONID_HARD_SKIN","Stats" : true,"Auto" : true,
 "Description" : "Vous maîtrisez la compétence Athlétisme."
  },
"LEONID_HARD_SKIN-Capacité de Rage":  {
 "Code" : "Capacité de Rage",
 "Race" : "",
 "SubRace" : "LEONID_HARD_SKIN","UseNumber" : 1,
 "Description" : "Lors de votre changement, vous gagnez 1d6 points de vie temporaires additionnels et un bonus de +1 a la CA."
  },
"LEONID_FANGED_FANGS-Furieux":  {
 "Code" : "Furieux",
 "Race" : "",
 "SubRace" : "LEONID_FANGED_FANGS","Stats" : true,"Auto" : true,
 "Description" : "Vous maîtrisez la compétence Intimidation."
  },
"LEONID_FANGED_FANGS-Capacité de Rage":  {
 "Code" : "Capacité de Rage",
 "Race" : "",
 "SubRace" : "LEONID_FANGED_FANGS","UseNumber"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
"LEONID_FELINE_STRIDE-Gracieux":  {
 "Code" : "Gracieux",
 "Race" : "",
 "SubRace" : "LEONID_FELINE_STRIDE","Stats" : true,"Auto" : true,
 "Description" : "Vous maîtrisez la compétence Acrobatie."
  },
"LEONID_FELINE_STRIDE-Foulée rapide":  {
 "Code" : "Foulée rapide",
 "Race" : "",
 "SubRace" : "LEONID_FELINE_STRIDE","Stats" : true,"Auto" : true,
 "Description" : "Votre vitesse de marche augmente de 1,50 mètre."
  },
"LEONID_FELINE_STRIDE-Capacité de Rage":  {
 "Code" : "Capacité de Rage",
 "Race" : "",
 "SubRace" : "LEONID_FELINE_STRIDE","UseNumber"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
"LEONID_HUNTER_PREDATOR-Traqueur inné":  {
 "Code" : "Traqueur inné",
 "Race" : "",
 "SubRace" : "LEONID_HUNTER_PREDATOR","Stats" : true,"Auto" : true,
 "Description" : "Vous maîtrisez la compétence Survie."
  },
"LEONID_HUNTER_PREDATOR-Fixer le parfum":  {
 "Code" : "Fixer le parfum",
 "Race" : "",
 "SubRace" : "LEONID_HUNTER_PREDATOR","UseNumber"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
"LEONID_HUNTER_PREDATOR-Capacité de Rage":  {
 "Code" : "Capacité de Rage",
 "Race" : "",
 "SubRace" : "LEONID_HUNTER_PREDATOR","UseNumber" : 1,
 "Description" : "Pendant votre changement, vous gagnez un avantage aux jets de Sagesse."
  }</v>
      </c>
    </row>
    <row r="138" spans="1:9">
      <c r="A138" s="55"/>
      <c r="B138" s="18"/>
      <c r="H138"/>
    </row>
    <row r="139" spans="1:9">
      <c r="A139" s="55"/>
      <c r="B139" s="18"/>
      <c r="H139"/>
    </row>
    <row r="140" spans="1:9">
      <c r="A140" s="55"/>
      <c r="B140" s="18"/>
      <c r="H140"/>
    </row>
    <row r="141" spans="1:9">
      <c r="A141" s="55"/>
      <c r="B141" s="18"/>
      <c r="H141"/>
    </row>
    <row r="142" spans="1:9">
      <c r="A142" s="55"/>
      <c r="B142" s="18"/>
      <c r="H142"/>
    </row>
    <row r="143" spans="1:9">
      <c r="A143" s="55"/>
      <c r="B143" s="18"/>
      <c r="H143"/>
    </row>
    <row r="144" spans="1:9">
      <c r="A144" s="55"/>
      <c r="B144" s="18"/>
      <c r="H144"/>
    </row>
    <row r="145" spans="1:8">
      <c r="A145" s="55"/>
      <c r="B145" s="18"/>
      <c r="H145"/>
    </row>
    <row r="146" spans="1:8">
      <c r="A146" s="55"/>
      <c r="B146" s="18"/>
      <c r="H146"/>
    </row>
    <row r="147" spans="1:8">
      <c r="A147" s="55"/>
      <c r="B147" s="18"/>
      <c r="H147"/>
    </row>
    <row r="148" spans="1:8">
      <c r="A148" s="55"/>
      <c r="B148" s="18"/>
      <c r="H148"/>
    </row>
  </sheetData>
  <conditionalFormatting sqref="C1:C1048576">
    <cfRule type="expression" dxfId="0" priority="13">
      <formula>COUNTIF($C:$C,"="&amp;C1)&gt;1</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1"/>
  <sheetViews>
    <sheetView topLeftCell="C1" workbookViewId="0">
      <selection activeCell="H2" sqref="H2"/>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44" t="s">
        <v>312</v>
      </c>
      <c r="B1" s="65" t="s">
        <v>954</v>
      </c>
      <c r="C1" s="20" t="s">
        <v>955</v>
      </c>
      <c r="D1" s="20" t="s">
        <v>2704</v>
      </c>
      <c r="E1" s="20" t="s">
        <v>956</v>
      </c>
      <c r="F1" s="20" t="s">
        <v>2705</v>
      </c>
    </row>
    <row r="2" spans="1:8" ht="12.75" customHeight="1">
      <c r="A2" s="68" t="s">
        <v>953</v>
      </c>
      <c r="B2" s="66" t="s">
        <v>960</v>
      </c>
      <c r="C2" s="66" t="s">
        <v>978</v>
      </c>
      <c r="D2" s="185"/>
      <c r="E2" s="185" t="s">
        <v>2706</v>
      </c>
      <c r="F2" s="103" t="s">
        <v>87</v>
      </c>
      <c r="G2">
        <f>IF(ISBLANK(F2),0,LEFT(F2,LEN(F2)-3)*IF(RIGHT(F2,2)="po",100,IF(RIGHT(F2,2)="pa",10,1)))</f>
        <v>1500</v>
      </c>
      <c r="H2" t="str">
        <f>""""&amp;A2&amp;""":  {
 ""Id"" : """&amp;A2&amp;""",
 ""Name"" : """&amp;B2&amp;""",
 ""Skills"" : ["&amp;C2&amp;"],
 ""Objects"" : ["&amp;D2&amp;"],
 ""StartingObjects"" : ["&amp;E2&amp;"],
 ""StartingMoney"" : "&amp;G2&amp;"
  }"</f>
        <v>"ACOLYTE":  {
 "Id" : "ACOLYTE",
 "Name" : "Acolyte",
 "Skills" : ["Perspicacité", "Religion"],
 "Objects" : [],
 "StartingObjects" : ["Symbole sacré","Livre de prières", "5 bâtons d'encens", "Habits de cérémonie","Vêtements communs"],
 "StartingMoney" : 1500
  }</v>
      </c>
    </row>
    <row r="3" spans="1:8" ht="16.5" customHeight="1">
      <c r="A3" s="151" t="s">
        <v>1035</v>
      </c>
      <c r="B3" s="56" t="s">
        <v>961</v>
      </c>
      <c r="C3" s="41" t="s">
        <v>979</v>
      </c>
      <c r="D3" s="186"/>
      <c r="E3" s="186" t="s">
        <v>2707</v>
      </c>
      <c r="F3" s="104" t="s">
        <v>87</v>
      </c>
      <c r="G3">
        <f t="shared" ref="G3:G19" si="0">IF(ISBLANK(F3),0,LEFT(F3,LEN(F3)-3)*IF(RIGHT(F3,2)="po",100,IF(RIGHT(F3,2)="pa",10,1)))</f>
        <v>1500</v>
      </c>
      <c r="H3" t="str">
        <f t="shared" ref="H3:H19" si="1">""""&amp;A3&amp;""":  {
 ""Id"" : """&amp;A3&amp;""",
 ""Name"" : """&amp;B3&amp;""",
 ""Skills"" : ["&amp;C3&amp;"],
 ""Objects"" : ["&amp;D3&amp;"],
 ""StartingObjects"" : ["&amp;E3&amp;"],
 ""StartingMoney"" : "&amp;G3&amp;"
  }"</f>
        <v>"GUILD_ARTISAN":  {
 "Id" : "GUILD_ARTISAN",
 "Name" : "Artisan De Guilde",
 "Skills" : ["Perspicacité", "Persuasion"],
 "Objects" : [],
 "StartingObjects" : ["Lettre de recommandation de votre guilde", "Vêtements de voyage"],
 "StartingMoney" : 1500
  }</v>
      </c>
    </row>
    <row r="4" spans="1:8" ht="14.25" customHeight="1">
      <c r="A4" s="53" t="s">
        <v>1023</v>
      </c>
      <c r="B4" s="26" t="s">
        <v>962</v>
      </c>
      <c r="C4" s="26" t="s">
        <v>993</v>
      </c>
      <c r="D4" s="187" t="s">
        <v>2708</v>
      </c>
      <c r="E4" s="187" t="s">
        <v>2709</v>
      </c>
      <c r="F4" s="105" t="s">
        <v>87</v>
      </c>
      <c r="G4">
        <f t="shared" si="0"/>
        <v>1500</v>
      </c>
      <c r="H4" t="str">
        <f t="shared" si="1"/>
        <v>"ARTIST":  {
 "Id" : "ARTIST",
 "Name" : "Artiste",
 "Skills" : ["Acrobatie", "Représentation"],
 "Objects" : ["Kit de déguisement"],
 "StartingObjects" : ["Cadeau d'un admirateur (une lettre d'amour, une mèche de cheveux, une babiole)", "Costume"],
 "StartingMoney" : 1500
  }</v>
      </c>
    </row>
    <row r="5" spans="1:8" ht="15" customHeight="1">
      <c r="A5" s="48" t="s">
        <v>957</v>
      </c>
      <c r="B5" s="56" t="s">
        <v>963</v>
      </c>
      <c r="C5" s="41" t="s">
        <v>980</v>
      </c>
      <c r="D5" s="186" t="s">
        <v>2710</v>
      </c>
      <c r="E5" s="186" t="s">
        <v>2711</v>
      </c>
      <c r="F5" s="104" t="s">
        <v>87</v>
      </c>
      <c r="G5">
        <f t="shared" si="0"/>
        <v>1500</v>
      </c>
      <c r="H5" t="str">
        <f t="shared" si="1"/>
        <v>"CHARLATAN":  {
 "Id" : "CHARLATAN",
 "Name" : "Charlatan",
 "Skills" : ["Escamotage", "Tromperie"],
 "Objects" : ["Kit de déguisement", "Kit de contrefaçon"],
 "StartingObjects" : ["Kit de déguisement", "Vêtements fins"],
 "StartingMoney" : 1500
  }</v>
      </c>
    </row>
    <row r="6" spans="1:8" ht="19.5" customHeight="1">
      <c r="A6" s="53" t="s">
        <v>1024</v>
      </c>
      <c r="B6" s="26" t="s">
        <v>964</v>
      </c>
      <c r="C6" s="26" t="s">
        <v>981</v>
      </c>
      <c r="D6" s="187" t="s">
        <v>2703</v>
      </c>
      <c r="E6" s="187" t="s">
        <v>2729</v>
      </c>
      <c r="F6" s="105" t="s">
        <v>87</v>
      </c>
      <c r="G6">
        <f t="shared" si="0"/>
        <v>1500</v>
      </c>
      <c r="H6" t="str">
        <f t="shared" si="1"/>
        <v>"CRIMINAL":  {
 "Id" : "CRIMINAL",
 "Name" : "Criminel",
 "Skills" : ["Discrétion", "Tromperie"],
 "Objects" : ["Outils de voleur"],
 "StartingObjects" : ["Pied-de-biche", "Vêtements communs sombres avec une capuche"],
 "StartingMoney" : 1500
  }</v>
      </c>
    </row>
    <row r="7" spans="1:8" ht="18.75" customHeight="1">
      <c r="A7" s="48" t="s">
        <v>1025</v>
      </c>
      <c r="B7" s="56" t="s">
        <v>965</v>
      </c>
      <c r="C7" s="41" t="s">
        <v>982</v>
      </c>
      <c r="D7" s="186" t="s">
        <v>2712</v>
      </c>
      <c r="E7" s="186" t="s">
        <v>2713</v>
      </c>
      <c r="F7" s="104" t="s">
        <v>84</v>
      </c>
      <c r="G7">
        <f t="shared" si="0"/>
        <v>1000</v>
      </c>
      <c r="H7" t="str">
        <f t="shared" si="1"/>
        <v>"STREETS_CHILD":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53" t="s">
        <v>1022</v>
      </c>
      <c r="B8" s="26" t="s">
        <v>966</v>
      </c>
      <c r="C8" s="26" t="s">
        <v>983</v>
      </c>
      <c r="D8" s="187" t="s">
        <v>2700</v>
      </c>
      <c r="E8" s="187" t="s">
        <v>2714</v>
      </c>
      <c r="F8" s="105" t="s">
        <v>38</v>
      </c>
      <c r="G8">
        <f t="shared" si="0"/>
        <v>500</v>
      </c>
      <c r="H8" t="str">
        <f t="shared" si="1"/>
        <v>"HERMIT":  {
 "Id" : "HERMIT",
 "Name" : "Ermite",
 "Skills" : ["Médecine", "Religion"],
 "Objects" : ["Kit d'herboriste"],
 "StartingObjects" : ["Kit d'herboriste", "Etui à parchemin remplis de notes sur vos études ou vos prières", "Couverture pour l'hiver", "Vêtements communs"],
 "StartingMoney" : 500
  }</v>
      </c>
    </row>
    <row r="9" spans="1:8" ht="18.75" customHeight="1">
      <c r="A9" s="151" t="s">
        <v>1034</v>
      </c>
      <c r="B9" s="56" t="s">
        <v>967</v>
      </c>
      <c r="C9" s="41" t="s">
        <v>984</v>
      </c>
      <c r="D9" s="186" t="s">
        <v>2715</v>
      </c>
      <c r="E9" s="186" t="s">
        <v>2716</v>
      </c>
      <c r="F9" s="104" t="s">
        <v>84</v>
      </c>
      <c r="G9">
        <f t="shared" si="0"/>
        <v>1000</v>
      </c>
      <c r="H9" t="str">
        <f t="shared" si="1"/>
        <v>"PEOPLE_HERO":  {
 "Id" : "PEOPLE_HERO",
 "Name" : "Héros Du Peuple",
 "Skills" : ["Dressage", "Survie"],
 "Objects" : ["Véhicules (terrestres)"],
 "StartingObjects" : ["Pelle", "Pot en fer", "Vêtements communs"],
 "StartingMoney" : 1000
  }</v>
      </c>
    </row>
    <row r="10" spans="1:8" ht="14.25" customHeight="1">
      <c r="A10" s="53" t="s">
        <v>1026</v>
      </c>
      <c r="B10" s="26" t="s">
        <v>968</v>
      </c>
      <c r="C10" s="26" t="s">
        <v>985</v>
      </c>
      <c r="D10" s="187" t="s">
        <v>2717</v>
      </c>
      <c r="E10" s="187" t="s">
        <v>2718</v>
      </c>
      <c r="F10" s="105" t="s">
        <v>87</v>
      </c>
      <c r="G10">
        <f t="shared" si="0"/>
        <v>1500</v>
      </c>
      <c r="H10" t="str">
        <f t="shared" si="1"/>
        <v>"MARINE":  {
 "Id" : "MARINE",
 "Name" : "Marin",
 "Skills" : ["Athlétisme", "Perception"],
 "Objects" : ["Outils de navigateur", "Véhicules (aquatiques)"],
 "StartingObjects" : ["Corde en soie (15 m.)", "Porte bonheur", "Vêtements communs"],
 "StartingMoney" : 1500
  }</v>
      </c>
    </row>
    <row r="11" spans="1:8" ht="16.5" customHeight="1">
      <c r="A11" s="48" t="s">
        <v>958</v>
      </c>
      <c r="B11" s="56" t="s">
        <v>969</v>
      </c>
      <c r="C11" s="41" t="s">
        <v>986</v>
      </c>
      <c r="D11" s="186"/>
      <c r="E11" s="186" t="s">
        <v>2719</v>
      </c>
      <c r="F11" s="104" t="s">
        <v>61</v>
      </c>
      <c r="G11">
        <f t="shared" si="0"/>
        <v>2500</v>
      </c>
      <c r="H11" t="str">
        <f t="shared" si="1"/>
        <v>"NOBLE":  {
 "Id" : "NOBLE",
 "Name" : "Noble",
 "Skills" : ["Histoire", "Persuasion"],
 "Objects" : [],
 "StartingObjects" : ["Vêtements fins", "Chevalière", "Lettre de noblesse"],
 "StartingMoney" : 2500
  }</v>
      </c>
    </row>
    <row r="12" spans="1:8" ht="15.75" customHeight="1">
      <c r="A12" s="53" t="s">
        <v>1027</v>
      </c>
      <c r="B12" s="26" t="s">
        <v>970</v>
      </c>
      <c r="C12" s="26" t="s">
        <v>987</v>
      </c>
      <c r="D12" s="187"/>
      <c r="E12" s="187" t="s">
        <v>2720</v>
      </c>
      <c r="F12" s="105" t="s">
        <v>84</v>
      </c>
      <c r="G12">
        <f t="shared" si="0"/>
        <v>1000</v>
      </c>
      <c r="H12" t="str">
        <f t="shared" si="1"/>
        <v>"WISE":  {
 "Id" : "WISE",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48" t="s">
        <v>959</v>
      </c>
      <c r="B13" s="56" t="s">
        <v>971</v>
      </c>
      <c r="C13" s="41" t="s">
        <v>988</v>
      </c>
      <c r="D13" s="186"/>
      <c r="E13" s="186" t="s">
        <v>2721</v>
      </c>
      <c r="F13" s="104" t="s">
        <v>84</v>
      </c>
      <c r="G13">
        <f t="shared" si="0"/>
        <v>1000</v>
      </c>
      <c r="H13" t="str">
        <f t="shared" si="1"/>
        <v>"SAUVAGEON":  {
 "Id" : "SAUVAGEON",
 "Name" : "Sauvageon",
 "Skills" : ["Athlétisme", "Survie"],
 "Objects" : [],
 "StartingObjects" : ["Piège à mâchoires", "Trophée d'animal que vous avez tué", "Vêtements de voyage "],
 "StartingMoney" : 1000
  }</v>
      </c>
    </row>
    <row r="14" spans="1:8">
      <c r="A14" s="53" t="s">
        <v>1028</v>
      </c>
      <c r="B14" s="26" t="s">
        <v>972</v>
      </c>
      <c r="C14" s="54" t="s">
        <v>989</v>
      </c>
      <c r="D14" s="188" t="s">
        <v>2731</v>
      </c>
      <c r="E14" s="188" t="s">
        <v>2722</v>
      </c>
      <c r="F14" s="107" t="s">
        <v>84</v>
      </c>
      <c r="G14">
        <f t="shared" si="0"/>
        <v>1000</v>
      </c>
      <c r="H14" t="str">
        <f t="shared" si="1"/>
        <v>"SOLDIER":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51" t="s">
        <v>1032</v>
      </c>
      <c r="B15" s="56" t="s">
        <v>976</v>
      </c>
      <c r="C15" s="18"/>
      <c r="D15" s="189"/>
      <c r="E15" s="189" t="s">
        <v>2723</v>
      </c>
      <c r="F15" s="100" t="s">
        <v>77</v>
      </c>
      <c r="G15">
        <f t="shared" si="0"/>
        <v>2000</v>
      </c>
      <c r="H15" t="str">
        <f t="shared" si="1"/>
        <v>"BOUNTY_HUNTER":  {
 "Id" : "BOUNTY_HUNTER",
 "Name" : "Chasseur De Primes",
 "Skills" : [],
 "Objects" : [],
 "StartingObjects" : ["Vêtements appropriés à votre fonction"],
 "StartingMoney" : 2000
  }</v>
      </c>
    </row>
    <row r="16" spans="1:8">
      <c r="A16" s="152" t="s">
        <v>1033</v>
      </c>
      <c r="B16" s="26" t="s">
        <v>977</v>
      </c>
      <c r="C16" s="54"/>
      <c r="D16" s="188"/>
      <c r="E16" s="188" t="s">
        <v>2724</v>
      </c>
      <c r="F16" s="107" t="s">
        <v>2725</v>
      </c>
      <c r="G16">
        <f t="shared" si="0"/>
        <v>0</v>
      </c>
      <c r="H16" t="str">
        <f t="shared" si="1"/>
        <v>"TORMENTED":  {
 "Id" : "TORMENTED",
 "Name" : "Tourmenté",
 "Skills" : [],
 "Objects" : [],
 "StartingObjects" : ["Vêtements communs", "Babiole ayant une signification particulière pour vous"],
 "StartingMoney" : 0
  }</v>
      </c>
    </row>
    <row r="17" spans="1:8">
      <c r="A17" s="151" t="s">
        <v>1031</v>
      </c>
      <c r="B17" s="56" t="s">
        <v>973</v>
      </c>
      <c r="C17" s="18" t="s">
        <v>990</v>
      </c>
      <c r="D17" s="189"/>
      <c r="E17" s="189" t="s">
        <v>2726</v>
      </c>
      <c r="F17" s="100" t="s">
        <v>84</v>
      </c>
      <c r="G17">
        <f t="shared" si="0"/>
        <v>1000</v>
      </c>
      <c r="H17" t="str">
        <f t="shared" si="1"/>
        <v>"TRAVELER":  {
 "Id" : "TRAVELER",
 "Name" : "Voyageur *",
 "Skills" : ["Survie", "Persuasion"],
 "Objects" : [],
 "StartingObjects" : ["Bâton de marche", "Souvenir venu d’un pays lointain", "Livre rempli de notes sur vos périples ou de dessins", "Bouteille d'encre", "Plune", "Vêtements de voyage"],
 "StartingMoney" : 1000
  }</v>
      </c>
    </row>
    <row r="18" spans="1:8">
      <c r="A18" s="53" t="s">
        <v>1029</v>
      </c>
      <c r="B18" s="26" t="s">
        <v>974</v>
      </c>
      <c r="C18" s="54" t="s">
        <v>991</v>
      </c>
      <c r="D18" s="188"/>
      <c r="E18" s="188" t="s">
        <v>2727</v>
      </c>
      <c r="F18" s="107" t="s">
        <v>38</v>
      </c>
      <c r="G18">
        <f t="shared" si="0"/>
        <v>500</v>
      </c>
      <c r="H18" t="str">
        <f t="shared" si="1"/>
        <v>"CAPTIVE":  {
 "Id" : "CAPTIVE",
 "Name" : "Captif *",
 "Skills" : ["Nature", "Survie"],
 "Objects" : [],
 "StartingObjects" : ["Vêtements communs", "Bougie", "Gamelle", "Couverture"],
 "StartingMoney" : 500
  }</v>
      </c>
    </row>
    <row r="19" spans="1:8">
      <c r="A19" s="51" t="s">
        <v>1030</v>
      </c>
      <c r="B19" s="102" t="s">
        <v>975</v>
      </c>
      <c r="C19" s="52" t="s">
        <v>992</v>
      </c>
      <c r="D19" s="190"/>
      <c r="E19" s="190" t="s">
        <v>2728</v>
      </c>
      <c r="F19" s="106" t="s">
        <v>2725</v>
      </c>
      <c r="G19">
        <f t="shared" si="0"/>
        <v>0</v>
      </c>
      <c r="H19" t="str">
        <f t="shared" si="1"/>
        <v>"VILLAGE_IDIOT":  {
 "Id" : "VILLAGE_IDIOT",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"Id" : "ACOLYTE",
 "Name" : "Acolyte",
 "Skills" : ["Perspicacité", "Religion"],
 "Objects" : [],
 "StartingObjects" : ["Symbole sacré","Livre de prières", "5 bâtons d'encens", "Habits de cérémonie","Vêtements communs"],
 "StartingMoney" : 1500
  },
"GUILD_ARTISAN":  {
 "Id" : "GUILD_ARTISAN",
 "Name" : "Artisan De Guilde",
 "Skills" : ["Perspicacité", "Persuasion"],
 "Objects" : [],
 "StartingObjects" : ["Lettre de recommandation de votre guilde", "Vêtements de voyage"],
 "StartingMoney" : 1500
  },
"ARTIST":  {
 "Id" : "ARTIST",
 "Name" : "Artiste",
 "Skills" : ["Acrobatie", "Représentation"],
 "Objects" : ["Kit de déguisement"],
 "StartingObjects" : ["Cadeau d'un admirateur (une lettre d'amour, une mèche de cheveux, une babiole)", "Costume"],
 "StartingMoney" : 1500
  },
"CHARLATAN":  {
 "Id" : "CHARLATAN",
 "Name" : "Charlatan",
 "Skills" : ["Escamotage", "Tromperie"],
 "Objects" : ["Kit de déguisement", "Kit de contrefaçon"],
 "StartingObjects" : ["Kit de déguisement", "Vêtements fins"],
 "StartingMoney" : 1500
  },
"CRIMINAL":  {
 "Id" : "CRIMINAL",
 "Name" : "Criminel",
 "Skills" : ["Discrétion", "Tromperie"],
 "Objects" : ["Outils de voleur"],
 "StartingObjects" : ["Pied-de-biche", "Vêtements communs sombres avec une capuche"],
 "StartingMoney" : 1500
  },
"STREETS_CHILD":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
"HERMIT":  {
 "Id" : "HERMIT",
 "Name" : "Ermite",
 "Skills" : ["Médecine", "Religion"],
 "Objects" : ["Kit d'herboriste"],
 "StartingObjects" : ["Kit d'herboriste", "Etui à parchemin remplis de notes sur vos études ou vos prières", "Couverture pour l'hiver", "Vêtements communs"],
 "StartingMoney" : 500
  },
"PEOPLE_HERO":  {
 "Id" : "PEOPLE_HERO",
 "Name" : "Héros Du Peuple",
 "Skills" : ["Dressage", "Survie"],
 "Objects" : ["Véhicules (terrestres)"],
 "StartingObjects" : ["Pelle", "Pot en fer", "Vêtements communs"],
 "StartingMoney" : 1000
  },
"MARINE":  {
 "Id" : "MARINE",
 "Name" : "Marin",
 "Skills" : ["Athlétisme", "Perception"],
 "Objects" : ["Outils de navigateur", "Véhicules (aquatiques)"],
 "StartingObjects" : ["Corde en soie (15 m.)", "Porte bonheur", "Vêtements communs"],
 "StartingMoney" : 1500
  },
"NOBLE":  {
 "Id" : "NOBLE",
 "Name" : "Noble",
 "Skills" : ["Histoire", "Persuasion"],
 "Objects" : [],
 "StartingObjects" : ["Vêtements fins", "Chevalière", "Lettre de noblesse"],
 "StartingMoney" : 2500
  },
"WISE":  {
 "Id" : "WISE",
 "Name" : "Sage",
 "Skills" : ["Arcanes", "Histoire"],
 "Objects" : [],
 "StartingObjects" : ["Bouteille d'encre noire", "Plume", "Petit couteau", "Lettre d'un collègue mort posant une question à laquelle vous n'avez pas encore été en mesure de répondre", "Vêtements communs"],
 "StartingMoney" : 1000
  },
"SAUVAGEON":  {
 "Id" : "SAUVAGEON",
 "Name" : "Sauvageon",
 "Skills" : ["Athlétisme", "Survie"],
 "Objects" : [],
 "StartingObjects" : ["Piège à mâchoires", "Trophée d'animal que vous avez tué", "Vêtements de voyage "],
 "StartingMoney" : 1000
  },
"SOLDIER":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"Id" : "BOUNTY_HUNTER",
 "Name" : "Chasseur De Primes",
 "Skills" : [],
 "Objects" : [],
 "StartingObjects" : ["Vêtements appropriés à votre fonction"],
 "StartingMoney" : 2000
  },
"TORMENTED":  {
 "Id" : "TORMENTED",
 "Name" : "Tourmenté",
 "Skills" : [],
 "Objects" : [],
 "StartingObjects" : ["Vêtements communs", "Babiole ayant une signification particulière pour vous"],
 "StartingMoney" : 0
  },
"TRAVELER":  {
 "Id" : "TRAVELER",
 "Name" : "Voyageur *",
 "Skills" : ["Survie", "Persuasion"],
 "Objects" : [],
 "StartingObjects" : ["Bâton de marche", "Souvenir venu d’un pays lointain", "Livre rempli de notes sur vos périples ou de dessins", "Bouteille d'encre", "Plune", "Vêtements de voyage"],
 "StartingMoney" : 1000
  },
"CAPTIVE":  {
 "Id" : "CAPTIVE",
 "Name" : "Captif *",
 "Skills" : ["Nature", "Survie"],
 "Objects" : [],
 "StartingObjects" : ["Vêtements communs", "Bougie", "Gamelle", "Couverture"],
 "StartingMoney" : 500
  },
"VILLAGE_IDIOT":  {
 "Id" : "VILLAGE_IDIOT",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25</vt:i4>
      </vt:variant>
    </vt:vector>
  </HeadingPairs>
  <TitlesOfParts>
    <vt:vector size="25" baseType="lpstr">
      <vt:lpstr>Niveaux</vt:lpstr>
      <vt:lpstr>Races</vt:lpstr>
      <vt:lpstr>Sous-races</vt:lpstr>
      <vt:lpstr>Classes</vt:lpstr>
      <vt:lpstr>Capacities</vt:lpstr>
      <vt:lpstr>Specialisation-capacities</vt:lpstr>
      <vt:lpstr>Compétences</vt:lpstr>
      <vt:lpstr>Compétences de race</vt:lpstr>
      <vt:lpstr>Historiques</vt:lpstr>
      <vt:lpstr>Armes</vt:lpstr>
      <vt:lpstr>Armures</vt:lpstr>
      <vt:lpstr>Montures</vt:lpstr>
      <vt:lpstr>Bâteaux</vt:lpstr>
      <vt:lpstr>Objets</vt:lpstr>
      <vt:lpstr>Babioles</vt:lpstr>
      <vt:lpstr>Services</vt:lpstr>
      <vt:lpstr>Equipements</vt:lpstr>
      <vt:lpstr>Sorts</vt:lpstr>
      <vt:lpstr>Compléments de sort</vt:lpstr>
      <vt:lpstr>Alignements</vt:lpstr>
      <vt:lpstr>Langues</vt:lpstr>
      <vt:lpstr>Altérations</vt:lpstr>
      <vt:lpstr>Types de monstres</vt:lpstr>
      <vt:lpstr>Monstres</vt:lpstr>
      <vt:lpstr>Export global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2020-07-03T15:17:01Z</dcterms:modified>
</cp:coreProperties>
</file>