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\Downloads\"/>
    </mc:Choice>
  </mc:AlternateContent>
  <xr:revisionPtr revIDLastSave="0" documentId="8_{0AC6CCFB-2B28-4BC2-857E-D2B4CD0734C1}" xr6:coauthVersionLast="47" xr6:coauthVersionMax="47" xr10:uidLastSave="{00000000-0000-0000-0000-000000000000}"/>
  <bookViews>
    <workbookView xWindow="-120" yWindow="-120" windowWidth="38640" windowHeight="21840" activeTab="1" xr2:uid="{FFC90F8A-56DF-4F18-92DC-0252865B000B}"/>
  </bookViews>
  <sheets>
    <sheet name="Financials" sheetId="4" r:id="rId1"/>
    <sheet name="Projections" sheetId="5" r:id="rId2"/>
  </sheets>
  <definedNames>
    <definedName name="BaseLaborCo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D7" i="5"/>
  <c r="E7" i="5"/>
  <c r="F7" i="5"/>
  <c r="G7" i="5"/>
  <c r="H7" i="5"/>
  <c r="I7" i="5"/>
  <c r="J7" i="5"/>
  <c r="C7" i="5"/>
  <c r="B4" i="5"/>
  <c r="B6" i="5"/>
  <c r="D4" i="5"/>
  <c r="E4" i="5"/>
  <c r="F4" i="5"/>
  <c r="G4" i="5"/>
  <c r="H4" i="5"/>
  <c r="I4" i="5"/>
  <c r="J4" i="5"/>
  <c r="K4" i="5"/>
  <c r="C4" i="5"/>
  <c r="C6" i="5" s="1"/>
  <c r="C5" i="5"/>
  <c r="D6" i="5"/>
  <c r="D5" i="5"/>
  <c r="E5" i="5"/>
  <c r="E6" i="5" s="1"/>
  <c r="F5" i="5"/>
  <c r="G5" i="5"/>
  <c r="H5" i="5"/>
  <c r="I5" i="5"/>
  <c r="J5" i="5"/>
  <c r="J6" i="5" s="1"/>
  <c r="K5" i="5"/>
  <c r="K6" i="5" l="1"/>
  <c r="I6" i="5"/>
  <c r="H6" i="5"/>
  <c r="F6" i="5"/>
  <c r="G6" i="5"/>
  <c r="I48" i="4" l="1"/>
  <c r="R23" i="4"/>
  <c r="R29" i="4" s="1"/>
  <c r="O21" i="4"/>
  <c r="O25" i="4" s="1"/>
  <c r="O29" i="4" s="1"/>
  <c r="O6" i="4"/>
  <c r="O10" i="4" s="1"/>
  <c r="O14" i="4" s="1"/>
  <c r="O36" i="4"/>
  <c r="O40" i="4" s="1"/>
  <c r="O44" i="4" s="1"/>
  <c r="L36" i="4"/>
  <c r="L40" i="4" s="1"/>
  <c r="L44" i="4" s="1"/>
  <c r="I39" i="4"/>
  <c r="I36" i="4"/>
  <c r="I43" i="4"/>
  <c r="F43" i="4"/>
  <c r="F38" i="4"/>
  <c r="F39" i="4" s="1"/>
  <c r="L25" i="4"/>
  <c r="L29" i="4" s="1"/>
  <c r="I21" i="4"/>
  <c r="I25" i="4" s="1"/>
  <c r="I29" i="4" s="1"/>
  <c r="F21" i="4"/>
  <c r="F25" i="4" s="1"/>
  <c r="F29" i="4" s="1"/>
  <c r="L10" i="4"/>
  <c r="L14" i="4" s="1"/>
  <c r="I10" i="4"/>
  <c r="I14" i="4" s="1"/>
  <c r="F10" i="4"/>
  <c r="F14" i="4" s="1"/>
  <c r="I45" i="4" l="1"/>
  <c r="F45" i="4"/>
  <c r="F48" i="4" s="1"/>
  <c r="A26" i="4" s="1"/>
  <c r="A32" i="4" l="1"/>
  <c r="A38" i="4" s="1"/>
  <c r="A41" i="4"/>
  <c r="A44" i="4" l="1"/>
</calcChain>
</file>

<file path=xl/sharedStrings.xml><?xml version="1.0" encoding="utf-8"?>
<sst xmlns="http://schemas.openxmlformats.org/spreadsheetml/2006/main" count="194" uniqueCount="97">
  <si>
    <t>TerraProbe Product Cost</t>
  </si>
  <si>
    <t>Component #1 - ESP 32 Module/Arduino Uno</t>
  </si>
  <si>
    <t>Component #2 - NPK Soil Sensor</t>
  </si>
  <si>
    <t>Component #3 - Soil Moisture Sensor</t>
  </si>
  <si>
    <t>Component #4 - Motors</t>
  </si>
  <si>
    <t>Material List</t>
  </si>
  <si>
    <t>ESP 32 Module/Arduino Uno</t>
  </si>
  <si>
    <t>Descripton</t>
  </si>
  <si>
    <t>Main Controller Module</t>
  </si>
  <si>
    <t>Nitrogen, Phosphorous, Pottasium Sensor</t>
  </si>
  <si>
    <t>DC 24V Electric Gear Motor 45W, Qty 2</t>
  </si>
  <si>
    <t>NPK Soil Sensor</t>
  </si>
  <si>
    <t>Vendor</t>
  </si>
  <si>
    <t>Amazon</t>
  </si>
  <si>
    <t>Walmart</t>
  </si>
  <si>
    <t>Soil Moisture Sensor</t>
  </si>
  <si>
    <t>Retail Cost</t>
  </si>
  <si>
    <t>Soil Tempreature</t>
  </si>
  <si>
    <t>Units / yr</t>
  </si>
  <si>
    <t>20V Dual Battry</t>
  </si>
  <si>
    <t>Volumized % of Retail</t>
  </si>
  <si>
    <t>12V/5V Dual Battery</t>
  </si>
  <si>
    <t>High Torque Motors</t>
  </si>
  <si>
    <t>Part Cost</t>
  </si>
  <si>
    <t>Electrical Buttons</t>
  </si>
  <si>
    <t>Display Module</t>
  </si>
  <si>
    <t>Overhead</t>
  </si>
  <si>
    <t>Wires</t>
  </si>
  <si>
    <t>Soldering Iron</t>
  </si>
  <si>
    <t>Component Cost</t>
  </si>
  <si>
    <t>Waterproofing Plastics</t>
  </si>
  <si>
    <t>Rack Gears</t>
  </si>
  <si>
    <t>Pinion Gears</t>
  </si>
  <si>
    <t>Component #5 - Batteries</t>
  </si>
  <si>
    <t>Component #6 - Electrical Hardware</t>
  </si>
  <si>
    <t>Component #7 - Temperature Sensor</t>
  </si>
  <si>
    <t>Component #8 - Rack</t>
  </si>
  <si>
    <t>Assembly Time [hrs]</t>
  </si>
  <si>
    <t>Steel Cyclinder</t>
  </si>
  <si>
    <t>Foot Stands</t>
  </si>
  <si>
    <t>1 20V Dual Battery
1 12V Battery</t>
  </si>
  <si>
    <t>Buttons, Display Module, Wires</t>
  </si>
  <si>
    <t>Temperature Sensor Chip</t>
  </si>
  <si>
    <t>Gear Racks, 1.125" Gear Pitch, Qty 2</t>
  </si>
  <si>
    <t>Sub-Assembly 1 - Inner Tube</t>
  </si>
  <si>
    <t>hr</t>
  </si>
  <si>
    <t>One Way Valve</t>
  </si>
  <si>
    <t>McMasterCarr</t>
  </si>
  <si>
    <t>Sub-Assembly 2 - Guidance System</t>
  </si>
  <si>
    <t>PLA Plastic (High Quality Roll)</t>
  </si>
  <si>
    <t>Sub-Assembly 3  - Sensor Probe</t>
  </si>
  <si>
    <t>Machining Cost (External)</t>
  </si>
  <si>
    <t>Final Assembly</t>
  </si>
  <si>
    <t>Steels or Metal Scraps</t>
  </si>
  <si>
    <t>Total Assembly Time</t>
  </si>
  <si>
    <t>Total Product Cost</t>
  </si>
  <si>
    <t xml:space="preserve">Labor Rate </t>
  </si>
  <si>
    <t>/hr</t>
  </si>
  <si>
    <t>Margin</t>
  </si>
  <si>
    <t>Sales Price</t>
  </si>
  <si>
    <t>Component #9 - Waterproofing Plastics</t>
  </si>
  <si>
    <t>Component #10 - Steel</t>
  </si>
  <si>
    <t>Component #11 - Driver Gear</t>
  </si>
  <si>
    <t>Component #12 - Pinion</t>
  </si>
  <si>
    <t>Sales Volume</t>
  </si>
  <si>
    <t>Dimensions</t>
  </si>
  <si>
    <t>12" x 100' (30 Mil Thickness)</t>
  </si>
  <si>
    <t>12 Teeth, 1.17" Carbon Steel Gear, Qty 4</t>
  </si>
  <si>
    <t>Metal Gear - 20 Degree Pressure Angle, Round Bore with Set Screw, 24 Pitch, 48 Teeth, Qty 2</t>
  </si>
  <si>
    <t>Mainline Materials</t>
  </si>
  <si>
    <t>Volume</t>
  </si>
  <si>
    <t>Material</t>
  </si>
  <si>
    <t>Alloy Steel</t>
  </si>
  <si>
    <t>Annual Revenue</t>
  </si>
  <si>
    <t>Area Per Part [Feet]</t>
  </si>
  <si>
    <t>Density [kg/in^3]</t>
  </si>
  <si>
    <t>Cost Per Feet</t>
  </si>
  <si>
    <t>Weight [kg]</t>
  </si>
  <si>
    <t>Material Cost</t>
  </si>
  <si>
    <t>Cost / kg</t>
  </si>
  <si>
    <t>Annual Cost</t>
  </si>
  <si>
    <t>Machining/Cutting Hours</t>
  </si>
  <si>
    <t>Labor Rate</t>
  </si>
  <si>
    <t>Annual Gross Profit</t>
  </si>
  <si>
    <t>Labor Cost</t>
  </si>
  <si>
    <t>Material + Labor Cost</t>
  </si>
  <si>
    <t>Years</t>
  </si>
  <si>
    <t>Assumptions</t>
  </si>
  <si>
    <t>First Year - No Sale, Only Production</t>
  </si>
  <si>
    <t>First Sale Year sell 50000 units</t>
  </si>
  <si>
    <t>Second Sale Year onwards 380000 units</t>
  </si>
  <si>
    <t>Cost</t>
  </si>
  <si>
    <t>Revenue</t>
  </si>
  <si>
    <t>Profit</t>
  </si>
  <si>
    <t>Units Sold</t>
  </si>
  <si>
    <t>R&amp;D Costs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</si>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</sst>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7" borderId="1" xfId="0" applyFill="1" applyBorder="1"/>
    <xf numFmtId="164" fontId="0" fillId="7" borderId="1" xfId="0" applyNumberFormat="1" applyFill="1" applyBorder="1"/>
    <xf numFmtId="164" fontId="4" fillId="8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3" borderId="1" xfId="0" applyFill="1" applyBorder="1"/>
    <xf numFmtId="0" fontId="6" fillId="0" borderId="1" xfId="0" applyFont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C7AF2A45-FCB0-4D5D-AA47-316233423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Number of Units Sold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Projections!$A$3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Projections!$B$3:$K$3</c:f>
              <c:numCache>
                <c:formatCode>General</c:formatCode>
                <c:ptCount val="1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380000</c:v>
                </c:pt>
                <c:pt idx="8">
                  <c:v>380000</c:v>
                </c:pt>
                <c:pt idx="9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D59-B159-7D828F04F2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759135"/>
        <c:axId val="358759615"/>
      </c:barChart>
      <c:catAx>
        <c:axId val="3587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9615"/>
        <c:crosses val="autoZero"/>
        <c:auto val="1"/>
        <c:lblAlgn val="ctr"/>
        <c:lblOffset val="100"/>
        <c:noMultiLvlLbl val="0"/>
      </c:catAx>
      <c:valAx>
        <c:axId val="3587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</a:t>
            </a:r>
            <a:r>
              <a:rPr lang="en-US" baseline="0"/>
              <a:t> of Estimated Revenue &amp; Cost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Projections!$B$4:$K$4</c:f>
              <c:numCache>
                <c:formatCode>"$"#,##0.00</c:formatCode>
                <c:ptCount val="10"/>
                <c:pt idx="0">
                  <c:v>10100000</c:v>
                </c:pt>
                <c:pt idx="1">
                  <c:v>4629150</c:v>
                </c:pt>
                <c:pt idx="2">
                  <c:v>9158300</c:v>
                </c:pt>
                <c:pt idx="3">
                  <c:v>22745750</c:v>
                </c:pt>
                <c:pt idx="4">
                  <c:v>45391500</c:v>
                </c:pt>
                <c:pt idx="5">
                  <c:v>90683000</c:v>
                </c:pt>
                <c:pt idx="6">
                  <c:v>181266000</c:v>
                </c:pt>
                <c:pt idx="7">
                  <c:v>344315400</c:v>
                </c:pt>
                <c:pt idx="8">
                  <c:v>344315400</c:v>
                </c:pt>
                <c:pt idx="9">
                  <c:v>344315400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B-428C-A6EE-BFF353AE9A7D}"/>
            </c:ext>
          </c:extLst>
        </c:ser>
        <c:ser>
          <c:idx val="1"/>
          <c:order val="1"/>
          <c:tx>
            <c:strRef>
              <c:f>Projections!$A$5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Projections!$B$5:$K$5</c:f>
              <c:numCache>
                <c:formatCode>"$"#,##0.00</c:formatCode>
                <c:ptCount val="10"/>
                <c:pt idx="0">
                  <c:v>0</c:v>
                </c:pt>
                <c:pt idx="1">
                  <c:v>7500000</c:v>
                </c:pt>
                <c:pt idx="2">
                  <c:v>15000000</c:v>
                </c:pt>
                <c:pt idx="3">
                  <c:v>37500000</c:v>
                </c:pt>
                <c:pt idx="4">
                  <c:v>75000000</c:v>
                </c:pt>
                <c:pt idx="5">
                  <c:v>150000000</c:v>
                </c:pt>
                <c:pt idx="6">
                  <c:v>300000000</c:v>
                </c:pt>
                <c:pt idx="7">
                  <c:v>570000000</c:v>
                </c:pt>
                <c:pt idx="8">
                  <c:v>570000000</c:v>
                </c:pt>
                <c:pt idx="9">
                  <c:v>570000000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B-428C-A6EE-BFF353AE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40975"/>
        <c:axId val="357839055"/>
      </c:barChart>
      <c:catAx>
        <c:axId val="35784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39055"/>
        <c:crosses val="autoZero"/>
        <c:auto val="1"/>
        <c:lblAlgn val="ctr"/>
        <c:lblOffset val="100"/>
        <c:noMultiLvlLbl val="0"/>
      </c:catAx>
      <c:valAx>
        <c:axId val="3578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Estimated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Projections!$A$6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Projections!$B$6:$K$6</c:f>
              <c:numCache>
                <c:formatCode>"$"#,##0.00</c:formatCode>
                <c:ptCount val="10"/>
                <c:pt idx="0">
                  <c:v>-10100000</c:v>
                </c:pt>
                <c:pt idx="1">
                  <c:v>2870850</c:v>
                </c:pt>
                <c:pt idx="2">
                  <c:v>5841700</c:v>
                </c:pt>
                <c:pt idx="3">
                  <c:v>14754250</c:v>
                </c:pt>
                <c:pt idx="4">
                  <c:v>29608500</c:v>
                </c:pt>
                <c:pt idx="5">
                  <c:v>59317000</c:v>
                </c:pt>
                <c:pt idx="6">
                  <c:v>118734000</c:v>
                </c:pt>
                <c:pt idx="7">
                  <c:v>225684600</c:v>
                </c:pt>
                <c:pt idx="8">
                  <c:v>225684600</c:v>
                </c:pt>
                <c:pt idx="9">
                  <c:v>225684600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8-404D-A609-2333DFAE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1327"/>
        <c:axId val="343471807"/>
      </c:barChart>
      <c:catAx>
        <c:axId val="34347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807"/>
        <c:crosses val="autoZero"/>
        <c:auto val="1"/>
        <c:lblAlgn val="ctr"/>
        <c:lblOffset val="100"/>
        <c:noMultiLvlLbl val="0"/>
      </c:catAx>
      <c:valAx>
        <c:axId val="3434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in Dollars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7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Return on Investment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Projections!$A$7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Projections!$B$2:$K$2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Projections!$B$7:$K$7</c:f>
              <c:numCache>
                <c:formatCode>0.00%</c:formatCode>
                <c:ptCount val="10"/>
                <c:pt idx="1">
                  <c:v>0.19490941432465553</c:v>
                </c:pt>
                <c:pt idx="2">
                  <c:v>0.30333414683539045</c:v>
                </c:pt>
                <c:pt idx="3">
                  <c:v>0.44919814587884277</c:v>
                </c:pt>
                <c:pt idx="4">
                  <c:v>0.53356820413937267</c:v>
                </c:pt>
                <c:pt idx="5">
                  <c:v>0.58856156296200746</c:v>
                </c:pt>
                <c:pt idx="6">
                  <c:v>0.62045504426073594</c:v>
                </c:pt>
                <c:pt idx="7">
                  <c:v>0.63677989161870507</c:v>
                </c:pt>
                <c:pt idx="8">
                  <c:v>0.63677989161870507</c:v>
                </c:pt>
                <c:pt idx="9">
                  <c:v>0.63677989161870507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D2A-8FC0-94F74E9D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927967"/>
        <c:axId val="1956928927"/>
      </c:lineChart>
      <c:catAx>
        <c:axId val="195692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8927"/>
        <c:crosses val="autoZero"/>
        <c:auto val="1"/>
        <c:lblAlgn val="ctr"/>
        <c:lblOffset val="100"/>
        <c:noMultiLvlLbl val="0"/>
      </c:catAx>
      <c:valAx>
        <c:axId val="19569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on Investment (ROI)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2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0</xdr:row>
      <xdr:rowOff>161924</xdr:rowOff>
    </xdr:from>
    <xdr:to>
      <xdr:col>21</xdr:col>
      <xdr:colOff>590549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06C16-D0BB-E910-25C0-84A0CA8C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300037</xdr:colOff>
      <xdr:row>20</xdr:row>
      <xdr:rowOff>114299</xdr:rowOff>
    </xdr:from>
    <xdr:to>
      <xdr:col>22</xdr:col>
      <xdr:colOff>19050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FDBAF-0660-8E6A-2F98-BC8BB504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290512</xdr:colOff>
      <xdr:row>42</xdr:row>
      <xdr:rowOff>171450</xdr:rowOff>
    </xdr:from>
    <xdr:to>
      <xdr:col>22</xdr:col>
      <xdr:colOff>161192</xdr:colOff>
      <xdr:row>63</xdr:row>
      <xdr:rowOff>131885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9BD43-29B2-3744-1233-3079F3AB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933449</xdr:colOff>
      <xdr:row>12</xdr:row>
      <xdr:rowOff>19049</xdr:rowOff>
    </xdr:from>
    <xdr:to>
      <xdr:col>10</xdr:col>
      <xdr:colOff>361949</xdr:colOff>
      <xdr:row>29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CB507-410B-5A12-29CB-CD916B754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287B-05B6-4222-8F12-FA25C1B5A94C}">
  <dimension ref="A1:S48"/>
  <sheetViews>
    <sheetView showGridLines="0" zoomScaleNormal="100" workbookViewId="0">
      <selection activeCell="E15" sqref="E15"/>
    </sheetView>
  </sheetViews>
  <sheetFormatPr defaultRowHeight="15" x14ac:dyDescent="0.25"/>
  <cols>
    <col min="1" max="1" width="46.28515625" customWidth="1"/>
    <col min="2" max="2" width="12.42578125" customWidth="1"/>
    <col min="4" max="4" width="1.28515625" customWidth="1"/>
    <col min="5" max="6" width="24" customWidth="1"/>
    <col min="7" max="7" width="12.42578125" customWidth="1"/>
    <col min="8" max="9" width="26" customWidth="1"/>
    <col min="10" max="10" width="11.140625" bestFit="1" customWidth="1"/>
    <col min="11" max="12" width="26.140625" customWidth="1"/>
    <col min="14" max="14" width="23.28515625" customWidth="1"/>
    <col min="15" max="15" width="29.42578125" customWidth="1"/>
    <col min="17" max="17" width="35.85546875" customWidth="1"/>
    <col min="18" max="18" width="23.85546875" customWidth="1"/>
  </cols>
  <sheetData>
    <row r="1" spans="1:15" ht="20.25" x14ac:dyDescent="0.3">
      <c r="A1" s="1" t="s">
        <v>0</v>
      </c>
    </row>
    <row r="2" spans="1:15" x14ac:dyDescent="0.25">
      <c r="E2" s="30" t="s">
        <v>1</v>
      </c>
      <c r="F2" s="30"/>
      <c r="H2" s="30" t="s">
        <v>2</v>
      </c>
      <c r="I2" s="30"/>
      <c r="K2" s="30" t="s">
        <v>3</v>
      </c>
      <c r="L2" s="30"/>
      <c r="N2" s="30" t="s">
        <v>4</v>
      </c>
      <c r="O2" s="30"/>
    </row>
    <row r="3" spans="1:15" ht="18.75" x14ac:dyDescent="0.3">
      <c r="A3" s="27" t="s">
        <v>5</v>
      </c>
      <c r="E3" s="30"/>
      <c r="F3" s="30"/>
      <c r="H3" s="30"/>
      <c r="I3" s="30"/>
      <c r="K3" s="30"/>
      <c r="L3" s="30"/>
      <c r="N3" s="30"/>
      <c r="O3" s="30"/>
    </row>
    <row r="4" spans="1:15" ht="34.5" customHeight="1" x14ac:dyDescent="0.25">
      <c r="A4" s="26" t="s">
        <v>6</v>
      </c>
      <c r="E4" s="12" t="s">
        <v>7</v>
      </c>
      <c r="F4" s="14" t="s">
        <v>8</v>
      </c>
      <c r="G4" s="13"/>
      <c r="H4" s="12" t="s">
        <v>7</v>
      </c>
      <c r="I4" s="17" t="s">
        <v>9</v>
      </c>
      <c r="K4" s="12" t="s">
        <v>7</v>
      </c>
      <c r="L4" s="17" t="s">
        <v>9</v>
      </c>
      <c r="N4" s="12" t="s">
        <v>7</v>
      </c>
      <c r="O4" s="17" t="s">
        <v>10</v>
      </c>
    </row>
    <row r="5" spans="1:15" x14ac:dyDescent="0.25">
      <c r="A5" s="26" t="s">
        <v>11</v>
      </c>
      <c r="E5" s="12" t="s">
        <v>12</v>
      </c>
      <c r="F5" s="14" t="s">
        <v>13</v>
      </c>
      <c r="G5" s="13"/>
      <c r="H5" s="12" t="s">
        <v>12</v>
      </c>
      <c r="I5" s="14" t="s">
        <v>13</v>
      </c>
      <c r="K5" s="12" t="s">
        <v>12</v>
      </c>
      <c r="L5" s="14" t="s">
        <v>13</v>
      </c>
      <c r="N5" s="12" t="s">
        <v>12</v>
      </c>
      <c r="O5" s="14" t="s">
        <v>14</v>
      </c>
    </row>
    <row r="6" spans="1:15" x14ac:dyDescent="0.25">
      <c r="A6" s="26" t="s">
        <v>15</v>
      </c>
      <c r="E6" s="12" t="s">
        <v>16</v>
      </c>
      <c r="F6" s="15">
        <v>15.99</v>
      </c>
      <c r="G6" s="13"/>
      <c r="H6" s="12" t="s">
        <v>16</v>
      </c>
      <c r="I6" s="15">
        <v>47.12</v>
      </c>
      <c r="K6" s="12" t="s">
        <v>16</v>
      </c>
      <c r="L6" s="15">
        <v>8.68</v>
      </c>
      <c r="N6" s="12" t="s">
        <v>16</v>
      </c>
      <c r="O6" s="15">
        <f>49*2</f>
        <v>98</v>
      </c>
    </row>
    <row r="7" spans="1:15" x14ac:dyDescent="0.25">
      <c r="A7" s="26" t="s">
        <v>17</v>
      </c>
      <c r="E7" s="12" t="s">
        <v>18</v>
      </c>
      <c r="F7" s="14">
        <v>5000</v>
      </c>
      <c r="G7" s="13"/>
      <c r="H7" s="12" t="s">
        <v>18</v>
      </c>
      <c r="I7" s="14">
        <v>5000</v>
      </c>
      <c r="K7" s="12" t="s">
        <v>18</v>
      </c>
      <c r="L7" s="14">
        <v>5000</v>
      </c>
      <c r="N7" s="12" t="s">
        <v>18</v>
      </c>
      <c r="O7" s="14">
        <v>5000</v>
      </c>
    </row>
    <row r="8" spans="1:15" x14ac:dyDescent="0.25">
      <c r="A8" s="26" t="s">
        <v>19</v>
      </c>
      <c r="E8" s="12" t="s">
        <v>20</v>
      </c>
      <c r="F8" s="16">
        <v>0.8</v>
      </c>
      <c r="G8" s="13"/>
      <c r="H8" s="12" t="s">
        <v>20</v>
      </c>
      <c r="I8" s="16">
        <v>0.8</v>
      </c>
      <c r="K8" s="12" t="s">
        <v>20</v>
      </c>
      <c r="L8" s="16">
        <v>0.8</v>
      </c>
      <c r="N8" s="12" t="s">
        <v>20</v>
      </c>
      <c r="O8" s="16">
        <v>0.8</v>
      </c>
    </row>
    <row r="9" spans="1:15" x14ac:dyDescent="0.25">
      <c r="A9" s="26" t="s">
        <v>21</v>
      </c>
    </row>
    <row r="10" spans="1:15" x14ac:dyDescent="0.25">
      <c r="A10" s="26" t="s">
        <v>22</v>
      </c>
      <c r="E10" s="6" t="s">
        <v>23</v>
      </c>
      <c r="F10" s="7">
        <f>F6*F8</f>
        <v>12.792000000000002</v>
      </c>
      <c r="H10" s="6" t="s">
        <v>23</v>
      </c>
      <c r="I10" s="7">
        <f>I6*I8</f>
        <v>37.695999999999998</v>
      </c>
      <c r="K10" s="6" t="s">
        <v>23</v>
      </c>
      <c r="L10" s="7">
        <f>L6*L8</f>
        <v>6.944</v>
      </c>
      <c r="N10" s="6" t="s">
        <v>23</v>
      </c>
      <c r="O10" s="7">
        <f>O6*O8</f>
        <v>78.400000000000006</v>
      </c>
    </row>
    <row r="11" spans="1:15" x14ac:dyDescent="0.25">
      <c r="A11" s="26" t="s">
        <v>24</v>
      </c>
    </row>
    <row r="12" spans="1:15" x14ac:dyDescent="0.25">
      <c r="A12" s="26" t="s">
        <v>25</v>
      </c>
      <c r="E12" s="8" t="s">
        <v>26</v>
      </c>
      <c r="F12" s="9">
        <v>8.5000000000000006E-2</v>
      </c>
      <c r="H12" s="8" t="s">
        <v>26</v>
      </c>
      <c r="I12" s="9">
        <v>8.5000000000000006E-2</v>
      </c>
      <c r="K12" s="8" t="s">
        <v>26</v>
      </c>
      <c r="L12" s="9">
        <v>8.5000000000000006E-2</v>
      </c>
      <c r="N12" s="8" t="s">
        <v>26</v>
      </c>
      <c r="O12" s="9">
        <v>8.5000000000000006E-2</v>
      </c>
    </row>
    <row r="13" spans="1:15" x14ac:dyDescent="0.25">
      <c r="A13" s="26" t="s">
        <v>27</v>
      </c>
    </row>
    <row r="14" spans="1:15" x14ac:dyDescent="0.25">
      <c r="A14" s="26" t="s">
        <v>28</v>
      </c>
      <c r="E14" s="10" t="s">
        <v>29</v>
      </c>
      <c r="F14" s="11">
        <f>F10*(1+F12)</f>
        <v>13.879320000000002</v>
      </c>
      <c r="H14" s="10" t="s">
        <v>29</v>
      </c>
      <c r="I14" s="11">
        <f>I10*(1+I12)</f>
        <v>40.90016</v>
      </c>
      <c r="K14" s="10" t="s">
        <v>29</v>
      </c>
      <c r="L14" s="11">
        <f>L10*(1+L12)</f>
        <v>7.5342399999999996</v>
      </c>
      <c r="N14" s="10" t="s">
        <v>29</v>
      </c>
      <c r="O14" s="11">
        <f>O10*(1+O12)</f>
        <v>85.064000000000007</v>
      </c>
    </row>
    <row r="15" spans="1:15" x14ac:dyDescent="0.25">
      <c r="A15" s="26" t="s">
        <v>30</v>
      </c>
      <c r="E15" s="28"/>
    </row>
    <row r="16" spans="1:15" x14ac:dyDescent="0.25">
      <c r="A16" s="2" t="s">
        <v>31</v>
      </c>
    </row>
    <row r="17" spans="1:19" x14ac:dyDescent="0.25">
      <c r="A17" s="2" t="s">
        <v>32</v>
      </c>
      <c r="E17" s="30" t="s">
        <v>33</v>
      </c>
      <c r="F17" s="30"/>
      <c r="H17" s="30" t="s">
        <v>34</v>
      </c>
      <c r="I17" s="30"/>
      <c r="K17" s="30" t="s">
        <v>35</v>
      </c>
      <c r="L17" s="30"/>
      <c r="N17" s="30" t="s">
        <v>36</v>
      </c>
      <c r="O17" s="30"/>
      <c r="Q17" s="30" t="s">
        <v>37</v>
      </c>
      <c r="R17" s="30"/>
    </row>
    <row r="18" spans="1:19" x14ac:dyDescent="0.25">
      <c r="A18" s="2" t="s">
        <v>38</v>
      </c>
      <c r="E18" s="30"/>
      <c r="F18" s="30"/>
      <c r="H18" s="30"/>
      <c r="I18" s="30"/>
      <c r="K18" s="30"/>
      <c r="L18" s="30"/>
      <c r="N18" s="30"/>
      <c r="O18" s="30"/>
      <c r="Q18" s="30"/>
      <c r="R18" s="30"/>
    </row>
    <row r="19" spans="1:19" ht="33.75" customHeight="1" x14ac:dyDescent="0.25">
      <c r="A19" s="2" t="s">
        <v>39</v>
      </c>
      <c r="E19" s="12" t="s">
        <v>7</v>
      </c>
      <c r="F19" s="17" t="s">
        <v>40</v>
      </c>
      <c r="H19" s="12" t="s">
        <v>7</v>
      </c>
      <c r="I19" s="17" t="s">
        <v>41</v>
      </c>
      <c r="K19" s="12" t="s">
        <v>7</v>
      </c>
      <c r="L19" s="17" t="s">
        <v>42</v>
      </c>
      <c r="N19" s="12" t="s">
        <v>7</v>
      </c>
      <c r="O19" s="17" t="s">
        <v>43</v>
      </c>
      <c r="Q19" s="12" t="s">
        <v>44</v>
      </c>
      <c r="R19" s="14">
        <v>0.25</v>
      </c>
      <c r="S19" s="18" t="s">
        <v>45</v>
      </c>
    </row>
    <row r="20" spans="1:19" x14ac:dyDescent="0.25">
      <c r="A20" s="2" t="s">
        <v>46</v>
      </c>
      <c r="E20" s="12" t="s">
        <v>12</v>
      </c>
      <c r="F20" s="14" t="s">
        <v>13</v>
      </c>
      <c r="H20" s="12" t="s">
        <v>12</v>
      </c>
      <c r="I20" s="14" t="s">
        <v>13</v>
      </c>
      <c r="K20" s="12" t="s">
        <v>12</v>
      </c>
      <c r="L20" s="14" t="s">
        <v>13</v>
      </c>
      <c r="N20" s="12" t="s">
        <v>12</v>
      </c>
      <c r="O20" s="14" t="s">
        <v>47</v>
      </c>
      <c r="Q20" s="12" t="s">
        <v>48</v>
      </c>
      <c r="R20" s="14">
        <v>0.75</v>
      </c>
      <c r="S20" s="18" t="s">
        <v>45</v>
      </c>
    </row>
    <row r="21" spans="1:19" x14ac:dyDescent="0.25">
      <c r="A21" s="2" t="s">
        <v>49</v>
      </c>
      <c r="E21" s="12" t="s">
        <v>16</v>
      </c>
      <c r="F21" s="15">
        <f>31.98+29.99</f>
        <v>61.97</v>
      </c>
      <c r="H21" s="12" t="s">
        <v>16</v>
      </c>
      <c r="I21" s="15">
        <f>0.35*5+14.99+6.49</f>
        <v>23.230000000000004</v>
      </c>
      <c r="K21" s="12" t="s">
        <v>16</v>
      </c>
      <c r="L21" s="15">
        <v>9.99</v>
      </c>
      <c r="N21" s="12" t="s">
        <v>16</v>
      </c>
      <c r="O21" s="15">
        <f>84.89*0.75*2</f>
        <v>127.33500000000001</v>
      </c>
      <c r="Q21" s="12" t="s">
        <v>50</v>
      </c>
      <c r="R21" s="14">
        <v>0.25</v>
      </c>
      <c r="S21" s="18" t="s">
        <v>45</v>
      </c>
    </row>
    <row r="22" spans="1:19" x14ac:dyDescent="0.25">
      <c r="A22" s="2" t="s">
        <v>51</v>
      </c>
      <c r="E22" s="12" t="s">
        <v>18</v>
      </c>
      <c r="F22" s="14">
        <v>5000</v>
      </c>
      <c r="H22" s="12" t="s">
        <v>18</v>
      </c>
      <c r="I22" s="14">
        <v>5000</v>
      </c>
      <c r="K22" s="12" t="s">
        <v>18</v>
      </c>
      <c r="L22" s="14">
        <v>5000</v>
      </c>
      <c r="N22" s="12" t="s">
        <v>18</v>
      </c>
      <c r="O22" s="14">
        <v>5000</v>
      </c>
      <c r="Q22" s="12" t="s">
        <v>52</v>
      </c>
      <c r="R22" s="14">
        <v>0.125</v>
      </c>
      <c r="S22" s="18" t="s">
        <v>45</v>
      </c>
    </row>
    <row r="23" spans="1:19" x14ac:dyDescent="0.25">
      <c r="A23" s="2" t="s">
        <v>53</v>
      </c>
      <c r="E23" s="12" t="s">
        <v>20</v>
      </c>
      <c r="F23" s="16">
        <v>0.8</v>
      </c>
      <c r="H23" s="12" t="s">
        <v>20</v>
      </c>
      <c r="I23" s="16">
        <v>0.8</v>
      </c>
      <c r="K23" s="12" t="s">
        <v>20</v>
      </c>
      <c r="L23" s="16">
        <v>0.8</v>
      </c>
      <c r="N23" s="12" t="s">
        <v>20</v>
      </c>
      <c r="O23" s="16">
        <v>0.8</v>
      </c>
      <c r="Q23" s="12" t="s">
        <v>54</v>
      </c>
      <c r="R23" s="3">
        <f>SUM(R19:R22)</f>
        <v>1.375</v>
      </c>
      <c r="S23" s="18" t="s">
        <v>45</v>
      </c>
    </row>
    <row r="25" spans="1:19" ht="18.75" x14ac:dyDescent="0.3">
      <c r="A25" s="22" t="s">
        <v>55</v>
      </c>
      <c r="E25" s="6" t="s">
        <v>23</v>
      </c>
      <c r="F25" s="7">
        <f>F21*F23</f>
        <v>49.576000000000001</v>
      </c>
      <c r="H25" s="6" t="s">
        <v>23</v>
      </c>
      <c r="I25" s="7">
        <f>I21*I23</f>
        <v>18.584000000000003</v>
      </c>
      <c r="K25" s="6" t="s">
        <v>23</v>
      </c>
      <c r="L25" s="7">
        <f>L21*L23</f>
        <v>7.9920000000000009</v>
      </c>
      <c r="N25" s="6" t="s">
        <v>23</v>
      </c>
      <c r="O25" s="7">
        <f>O21*O23</f>
        <v>101.86800000000001</v>
      </c>
      <c r="Q25" s="6" t="s">
        <v>56</v>
      </c>
      <c r="R25" s="7">
        <v>60</v>
      </c>
      <c r="S25" s="3" t="s">
        <v>57</v>
      </c>
    </row>
    <row r="26" spans="1:19" ht="18.75" x14ac:dyDescent="0.3">
      <c r="A26" s="23">
        <f>F14+I14+L14+O14+F29+I29+L29+O29+R29+F48+I48+L44+O44</f>
        <v>905.85820999999999</v>
      </c>
    </row>
    <row r="27" spans="1:19" x14ac:dyDescent="0.25">
      <c r="E27" s="8" t="s">
        <v>26</v>
      </c>
      <c r="F27" s="9">
        <v>8.5000000000000006E-2</v>
      </c>
      <c r="H27" s="8" t="s">
        <v>26</v>
      </c>
      <c r="I27" s="9">
        <v>8.5000000000000006E-2</v>
      </c>
      <c r="K27" s="8" t="s">
        <v>26</v>
      </c>
      <c r="L27" s="9">
        <v>8.5000000000000006E-2</v>
      </c>
      <c r="N27" s="8" t="s">
        <v>26</v>
      </c>
      <c r="O27" s="9">
        <v>8.5000000000000006E-2</v>
      </c>
      <c r="Q27" s="8" t="s">
        <v>26</v>
      </c>
      <c r="R27" s="9">
        <v>0.35</v>
      </c>
    </row>
    <row r="28" spans="1:19" ht="18.75" x14ac:dyDescent="0.3">
      <c r="A28" s="22" t="s">
        <v>58</v>
      </c>
    </row>
    <row r="29" spans="1:19" ht="18.75" x14ac:dyDescent="0.3">
      <c r="A29" s="24">
        <v>0.65</v>
      </c>
      <c r="E29" s="10" t="s">
        <v>29</v>
      </c>
      <c r="F29" s="11">
        <f>F25*(1+F27)</f>
        <v>53.789960000000001</v>
      </c>
      <c r="H29" s="10" t="s">
        <v>29</v>
      </c>
      <c r="I29" s="11">
        <f>I25*(1+I27)</f>
        <v>20.163640000000004</v>
      </c>
      <c r="K29" s="10" t="s">
        <v>29</v>
      </c>
      <c r="L29" s="11">
        <f>L25*(1+L27)</f>
        <v>8.6713200000000015</v>
      </c>
      <c r="N29" s="10" t="s">
        <v>29</v>
      </c>
      <c r="O29" s="11">
        <f>O25*(1+O27)</f>
        <v>110.52678</v>
      </c>
      <c r="Q29" s="10" t="s">
        <v>29</v>
      </c>
      <c r="R29" s="11">
        <f>R23*R25*(1+R27)</f>
        <v>111.37500000000001</v>
      </c>
    </row>
    <row r="30" spans="1:19" ht="18.75" x14ac:dyDescent="0.3">
      <c r="A30" s="24"/>
    </row>
    <row r="31" spans="1:19" ht="18.75" x14ac:dyDescent="0.3">
      <c r="A31" s="22" t="s">
        <v>59</v>
      </c>
    </row>
    <row r="32" spans="1:19" ht="18.75" x14ac:dyDescent="0.3">
      <c r="A32" s="23">
        <f>A26*(1+A29)</f>
        <v>1494.6660465</v>
      </c>
      <c r="E32" s="30" t="s">
        <v>60</v>
      </c>
      <c r="F32" s="30"/>
      <c r="H32" s="30" t="s">
        <v>61</v>
      </c>
      <c r="I32" s="30"/>
      <c r="K32" s="30" t="s">
        <v>62</v>
      </c>
      <c r="L32" s="30"/>
      <c r="N32" s="30" t="s">
        <v>63</v>
      </c>
      <c r="O32" s="30"/>
    </row>
    <row r="33" spans="1:15" ht="21" customHeight="1" x14ac:dyDescent="0.25">
      <c r="E33" s="30"/>
      <c r="F33" s="30"/>
      <c r="H33" s="30"/>
      <c r="I33" s="30"/>
      <c r="K33" s="30"/>
      <c r="L33" s="30"/>
      <c r="N33" s="30"/>
      <c r="O33" s="30"/>
    </row>
    <row r="34" spans="1:15" ht="58.5" customHeight="1" x14ac:dyDescent="0.3">
      <c r="A34" s="22" t="s">
        <v>64</v>
      </c>
      <c r="E34" s="12" t="s">
        <v>65</v>
      </c>
      <c r="F34" s="17" t="s">
        <v>66</v>
      </c>
      <c r="H34" s="12" t="s">
        <v>70</v>
      </c>
      <c r="I34" s="14">
        <v>140</v>
      </c>
      <c r="K34" s="12" t="s">
        <v>7</v>
      </c>
      <c r="L34" s="17" t="s">
        <v>67</v>
      </c>
      <c r="N34" s="12" t="s">
        <v>7</v>
      </c>
      <c r="O34" s="17" t="s">
        <v>68</v>
      </c>
    </row>
    <row r="35" spans="1:15" ht="23.25" customHeight="1" x14ac:dyDescent="0.3">
      <c r="A35" s="25">
        <v>380000</v>
      </c>
      <c r="E35" s="12" t="s">
        <v>12</v>
      </c>
      <c r="F35" s="14" t="s">
        <v>69</v>
      </c>
      <c r="H35" s="12" t="s">
        <v>71</v>
      </c>
      <c r="I35" s="15" t="s">
        <v>72</v>
      </c>
      <c r="K35" s="12" t="s">
        <v>12</v>
      </c>
      <c r="L35" s="14" t="s">
        <v>47</v>
      </c>
      <c r="N35" s="12" t="s">
        <v>12</v>
      </c>
      <c r="O35" s="14" t="s">
        <v>13</v>
      </c>
    </row>
    <row r="36" spans="1:15" x14ac:dyDescent="0.25">
      <c r="E36" s="12" t="s">
        <v>71</v>
      </c>
      <c r="F36" s="15">
        <v>202.26</v>
      </c>
      <c r="H36" s="12" t="s">
        <v>75</v>
      </c>
      <c r="I36" s="19">
        <f>0.28*0.453592</f>
        <v>0.12700576000000002</v>
      </c>
      <c r="K36" s="12" t="s">
        <v>16</v>
      </c>
      <c r="L36" s="15">
        <f>30.83*4</f>
        <v>123.32</v>
      </c>
      <c r="N36" s="12" t="s">
        <v>16</v>
      </c>
      <c r="O36" s="15">
        <f>39.93*2</f>
        <v>79.86</v>
      </c>
    </row>
    <row r="37" spans="1:15" ht="18.75" x14ac:dyDescent="0.3">
      <c r="A37" s="22" t="s">
        <v>73</v>
      </c>
      <c r="E37" s="12" t="s">
        <v>74</v>
      </c>
      <c r="F37" s="14">
        <v>2</v>
      </c>
      <c r="H37" s="12" t="s">
        <v>77</v>
      </c>
      <c r="I37" s="19">
        <v>25</v>
      </c>
      <c r="K37" s="12" t="s">
        <v>18</v>
      </c>
      <c r="L37" s="14">
        <v>1000</v>
      </c>
      <c r="N37" s="12" t="s">
        <v>18</v>
      </c>
      <c r="O37" s="14">
        <v>1000</v>
      </c>
    </row>
    <row r="38" spans="1:15" ht="18.75" x14ac:dyDescent="0.3">
      <c r="A38" s="23">
        <f>A35*A32</f>
        <v>567973097.66999996</v>
      </c>
      <c r="E38" s="12" t="s">
        <v>76</v>
      </c>
      <c r="F38" s="15">
        <f>F36*(1/100)</f>
        <v>2.0225999999999997</v>
      </c>
      <c r="H38" s="12" t="s">
        <v>79</v>
      </c>
      <c r="I38" s="15">
        <v>4.41</v>
      </c>
      <c r="K38" s="12" t="s">
        <v>20</v>
      </c>
      <c r="L38" s="16">
        <v>0.9</v>
      </c>
      <c r="N38" s="12" t="s">
        <v>20</v>
      </c>
      <c r="O38" s="16">
        <v>0.9</v>
      </c>
    </row>
    <row r="39" spans="1:15" x14ac:dyDescent="0.25">
      <c r="E39" s="6" t="s">
        <v>78</v>
      </c>
      <c r="F39" s="7">
        <f>F38*F37</f>
        <v>4.0451999999999995</v>
      </c>
      <c r="H39" s="6" t="s">
        <v>78</v>
      </c>
      <c r="I39" s="7">
        <f>I38*I37</f>
        <v>110.25</v>
      </c>
    </row>
    <row r="40" spans="1:15" ht="18.75" x14ac:dyDescent="0.3">
      <c r="A40" s="22" t="s">
        <v>80</v>
      </c>
      <c r="K40" s="6" t="s">
        <v>23</v>
      </c>
      <c r="L40" s="7">
        <f>L36*L38</f>
        <v>110.988</v>
      </c>
      <c r="N40" s="6" t="s">
        <v>23</v>
      </c>
      <c r="O40" s="7">
        <f>O36*O38</f>
        <v>71.873999999999995</v>
      </c>
    </row>
    <row r="41" spans="1:15" ht="18.75" x14ac:dyDescent="0.3">
      <c r="A41" s="23">
        <f>A26*A35</f>
        <v>344226119.80000001</v>
      </c>
      <c r="E41" s="12" t="s">
        <v>81</v>
      </c>
      <c r="F41" s="3">
        <v>1</v>
      </c>
      <c r="H41" s="12" t="s">
        <v>81</v>
      </c>
      <c r="I41" s="3">
        <v>0.25</v>
      </c>
    </row>
    <row r="42" spans="1:15" x14ac:dyDescent="0.25">
      <c r="E42" s="12" t="s">
        <v>82</v>
      </c>
      <c r="F42" s="4">
        <v>60</v>
      </c>
      <c r="H42" s="12" t="s">
        <v>82</v>
      </c>
      <c r="I42" s="4">
        <v>60</v>
      </c>
      <c r="K42" s="8" t="s">
        <v>26</v>
      </c>
      <c r="L42" s="9">
        <v>8.5000000000000006E-2</v>
      </c>
      <c r="N42" s="8" t="s">
        <v>26</v>
      </c>
      <c r="O42" s="9">
        <v>8.5000000000000006E-2</v>
      </c>
    </row>
    <row r="43" spans="1:15" ht="18.75" x14ac:dyDescent="0.3">
      <c r="A43" s="22" t="s">
        <v>83</v>
      </c>
      <c r="E43" s="20" t="s">
        <v>84</v>
      </c>
      <c r="F43" s="21">
        <f>F42*F41</f>
        <v>60</v>
      </c>
      <c r="H43" s="20" t="s">
        <v>84</v>
      </c>
      <c r="I43" s="21">
        <f>I42*I41</f>
        <v>15</v>
      </c>
    </row>
    <row r="44" spans="1:15" ht="18.75" x14ac:dyDescent="0.3">
      <c r="A44" s="23">
        <f>A38-A41</f>
        <v>223746977.86999995</v>
      </c>
      <c r="K44" s="10" t="s">
        <v>29</v>
      </c>
      <c r="L44" s="11">
        <f>L40*(1+L42)</f>
        <v>120.42197999999999</v>
      </c>
      <c r="N44" s="10" t="s">
        <v>29</v>
      </c>
      <c r="O44" s="11">
        <f>O40*(1+O42)</f>
        <v>77.983289999999997</v>
      </c>
    </row>
    <row r="45" spans="1:15" x14ac:dyDescent="0.25">
      <c r="E45" s="3" t="s">
        <v>85</v>
      </c>
      <c r="F45" s="4">
        <f>F43+F39</f>
        <v>64.045199999999994</v>
      </c>
      <c r="H45" s="3" t="s">
        <v>85</v>
      </c>
      <c r="I45" s="4">
        <f>I43+I39</f>
        <v>125.25</v>
      </c>
    </row>
    <row r="46" spans="1:15" x14ac:dyDescent="0.25">
      <c r="E46" s="3" t="s">
        <v>26</v>
      </c>
      <c r="F46" s="5">
        <v>0.35</v>
      </c>
      <c r="H46" s="3" t="s">
        <v>26</v>
      </c>
      <c r="I46" s="5">
        <v>0.35</v>
      </c>
    </row>
    <row r="48" spans="1:15" x14ac:dyDescent="0.25">
      <c r="E48" s="10" t="s">
        <v>29</v>
      </c>
      <c r="F48" s="11">
        <f>F45*(1+F46)</f>
        <v>86.461020000000005</v>
      </c>
      <c r="H48" s="10" t="s">
        <v>29</v>
      </c>
      <c r="I48" s="11">
        <f>I45*(1+I46)</f>
        <v>169.08750000000001</v>
      </c>
    </row>
  </sheetData>
  <mergeCells count="13">
    <mergeCell ref="E32:F33"/>
    <mergeCell ref="N17:O18"/>
    <mergeCell ref="H32:I33"/>
    <mergeCell ref="K32:L33"/>
    <mergeCell ref="N32:O33"/>
    <mergeCell ref="Q17:R18"/>
    <mergeCell ref="K2:L3"/>
    <mergeCell ref="N2:O3"/>
    <mergeCell ref="E17:F18"/>
    <mergeCell ref="H17:I18"/>
    <mergeCell ref="K17:L18"/>
    <mergeCell ref="E2:F3"/>
    <mergeCell ref="H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95F2-B3C0-4B37-A7D6-24D7E35B1121}">
  <dimension ref="A2:K15"/>
  <sheetViews>
    <sheetView tabSelected="1" topLeftCell="F1" zoomScale="130" zoomScaleNormal="130" workbookViewId="0">
      <selection activeCell="I37" sqref="I37"/>
    </sheetView>
  </sheetViews>
  <sheetFormatPr defaultRowHeight="15" x14ac:dyDescent="0.25"/>
  <cols>
    <col min="1" max="1" width="17.42578125" customWidth="1"/>
    <col min="2" max="11" width="18.140625" customWidth="1"/>
  </cols>
  <sheetData>
    <row r="2" spans="1:11" x14ac:dyDescent="0.25">
      <c r="A2" t="s">
        <v>86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t="s">
        <v>94</v>
      </c>
      <c r="B3">
        <v>0</v>
      </c>
      <c r="C3">
        <v>5000</v>
      </c>
      <c r="D3">
        <v>10000</v>
      </c>
      <c r="E3">
        <v>25000</v>
      </c>
      <c r="F3">
        <v>50000</v>
      </c>
      <c r="G3">
        <v>100000</v>
      </c>
      <c r="H3">
        <v>200000</v>
      </c>
      <c r="I3">
        <v>380000</v>
      </c>
      <c r="J3">
        <v>380000</v>
      </c>
      <c r="K3">
        <v>380000</v>
      </c>
    </row>
    <row r="4" spans="1:11" x14ac:dyDescent="0.25">
      <c r="A4" t="s">
        <v>91</v>
      </c>
      <c r="B4" s="28">
        <f>100000+10000000</f>
        <v>10100000</v>
      </c>
      <c r="C4" s="28">
        <f>100000+C3*905.83</f>
        <v>4629150</v>
      </c>
      <c r="D4" s="28">
        <f t="shared" ref="D4:K4" si="0">100000+D3*905.83</f>
        <v>9158300</v>
      </c>
      <c r="E4" s="28">
        <f t="shared" si="0"/>
        <v>22745750</v>
      </c>
      <c r="F4" s="28">
        <f t="shared" si="0"/>
        <v>45391500</v>
      </c>
      <c r="G4" s="28">
        <f t="shared" si="0"/>
        <v>90683000</v>
      </c>
      <c r="H4" s="28">
        <f t="shared" si="0"/>
        <v>181266000</v>
      </c>
      <c r="I4" s="28">
        <f t="shared" si="0"/>
        <v>344315400</v>
      </c>
      <c r="J4" s="28">
        <f t="shared" si="0"/>
        <v>344315400</v>
      </c>
      <c r="K4" s="28">
        <f t="shared" si="0"/>
        <v>344315400</v>
      </c>
    </row>
    <row r="5" spans="1:11" x14ac:dyDescent="0.25">
      <c r="A5" t="s">
        <v>92</v>
      </c>
      <c r="B5" s="28">
        <v>0</v>
      </c>
      <c r="C5" s="28">
        <f>1500*C3</f>
        <v>7500000</v>
      </c>
      <c r="D5" s="28">
        <f t="shared" ref="D5:K5" si="1">1500*D3</f>
        <v>15000000</v>
      </c>
      <c r="E5" s="28">
        <f t="shared" si="1"/>
        <v>37500000</v>
      </c>
      <c r="F5" s="28">
        <f t="shared" si="1"/>
        <v>75000000</v>
      </c>
      <c r="G5" s="28">
        <f t="shared" si="1"/>
        <v>150000000</v>
      </c>
      <c r="H5" s="28">
        <f t="shared" si="1"/>
        <v>300000000</v>
      </c>
      <c r="I5" s="28">
        <f t="shared" si="1"/>
        <v>570000000</v>
      </c>
      <c r="J5" s="28">
        <f t="shared" si="1"/>
        <v>570000000</v>
      </c>
      <c r="K5" s="28">
        <f t="shared" si="1"/>
        <v>570000000</v>
      </c>
    </row>
    <row r="6" spans="1:11" x14ac:dyDescent="0.25">
      <c r="A6" t="s">
        <v>93</v>
      </c>
      <c r="B6" s="28">
        <f>B5-B4</f>
        <v>-10100000</v>
      </c>
      <c r="C6" s="28">
        <f t="shared" ref="C6:K6" si="2">C5-C4</f>
        <v>2870850</v>
      </c>
      <c r="D6" s="28">
        <f t="shared" si="2"/>
        <v>5841700</v>
      </c>
      <c r="E6" s="28">
        <f t="shared" si="2"/>
        <v>14754250</v>
      </c>
      <c r="F6" s="28">
        <f t="shared" si="2"/>
        <v>29608500</v>
      </c>
      <c r="G6" s="28">
        <f t="shared" si="2"/>
        <v>59317000</v>
      </c>
      <c r="H6" s="28">
        <f t="shared" si="2"/>
        <v>118734000</v>
      </c>
      <c r="I6" s="28">
        <f t="shared" si="2"/>
        <v>225684600</v>
      </c>
      <c r="J6" s="28">
        <f t="shared" si="2"/>
        <v>225684600</v>
      </c>
      <c r="K6" s="28">
        <f t="shared" si="2"/>
        <v>225684600</v>
      </c>
    </row>
    <row r="7" spans="1:11" x14ac:dyDescent="0.25">
      <c r="A7" t="s">
        <v>96</v>
      </c>
      <c r="C7" s="29">
        <f>C6/(C4+$B$4)</f>
        <v>0.19490941432465553</v>
      </c>
      <c r="D7" s="29">
        <f t="shared" ref="D7:J7" si="3">D6/(D4+$B$4)</f>
        <v>0.30333414683539045</v>
      </c>
      <c r="E7" s="29">
        <f t="shared" si="3"/>
        <v>0.44919814587884277</v>
      </c>
      <c r="F7" s="29">
        <f t="shared" si="3"/>
        <v>0.53356820413937267</v>
      </c>
      <c r="G7" s="29">
        <f t="shared" si="3"/>
        <v>0.58856156296200746</v>
      </c>
      <c r="H7" s="29">
        <f t="shared" si="3"/>
        <v>0.62045504426073594</v>
      </c>
      <c r="I7" s="29">
        <f t="shared" si="3"/>
        <v>0.63677989161870507</v>
      </c>
      <c r="J7" s="29">
        <f t="shared" si="3"/>
        <v>0.63677989161870507</v>
      </c>
      <c r="K7" s="29">
        <f>K6/(K4+$B$4)</f>
        <v>0.63677989161870507</v>
      </c>
    </row>
    <row r="11" spans="1:11" x14ac:dyDescent="0.25">
      <c r="A11" t="s">
        <v>87</v>
      </c>
    </row>
    <row r="12" spans="1:11" x14ac:dyDescent="0.25">
      <c r="A12" t="s">
        <v>88</v>
      </c>
    </row>
    <row r="13" spans="1:11" x14ac:dyDescent="0.25">
      <c r="A13" t="s">
        <v>89</v>
      </c>
    </row>
    <row r="14" spans="1:11" x14ac:dyDescent="0.25">
      <c r="A14" t="s">
        <v>90</v>
      </c>
    </row>
    <row r="15" spans="1:11" x14ac:dyDescent="0.25">
      <c r="A15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nelso336-lt1</dc:creator>
  <cp:keywords/>
  <dc:description/>
  <cp:lastModifiedBy>Iyer, Sankaran Suresh</cp:lastModifiedBy>
  <cp:revision/>
  <dcterms:created xsi:type="dcterms:W3CDTF">2021-08-31T16:29:24Z</dcterms:created>
  <dcterms:modified xsi:type="dcterms:W3CDTF">2025-02-06T22:00:26Z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2025-02-01T01:57:47Z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e8676524-8e58-49ca-a058-27726dfddb8e</vt:lpwstr>
  </property>
  <property fmtid="{D5CDD505-2E9C-101B-9397-08002B2CF9AE}" pid="8" name="MSIP_Label_4044bd30-2ed7-4c9d-9d12-46200872a97b_ContentBits">
    <vt:lpwstr>0</vt:lpwstr>
  </property>
</Properties>
</file>