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rdue0-my.sharepoint.com/personal/iyerss_purdue_edu/Documents/ME463 Senior Design - TerraProbe/CDR/"/>
    </mc:Choice>
  </mc:AlternateContent>
  <xr:revisionPtr revIDLastSave="228" documentId="8_{0AC6CCFB-2B28-4BC2-857E-D2B4CD0734C1}" xr6:coauthVersionLast="47" xr6:coauthVersionMax="47" xr10:uidLastSave="{280B21C4-450B-4864-B5E4-DA9AC7B48F29}"/>
  <bookViews>
    <workbookView xWindow="0" yWindow="0" windowWidth="20955" windowHeight="21330" activeTab="1" xr2:uid="{FFC90F8A-56DF-4F18-92DC-0252865B000B}"/>
  </bookViews>
  <sheets>
    <sheet name="Financials" sheetId="4" r:id="rId1"/>
    <sheet name="Projections" sheetId="5" r:id="rId2"/>
  </sheets>
  <definedNames>
    <definedName name="BaseLaborCos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5" l="1"/>
  <c r="B5" i="5"/>
  <c r="F15" i="5"/>
  <c r="B16" i="5"/>
  <c r="C13" i="5"/>
  <c r="D13" i="5"/>
  <c r="E13" i="5"/>
  <c r="F13" i="5"/>
  <c r="G13" i="5"/>
  <c r="H13" i="5"/>
  <c r="I13" i="5"/>
  <c r="J13" i="5"/>
  <c r="K13" i="5"/>
  <c r="B13" i="5"/>
  <c r="E10" i="5"/>
  <c r="F10" i="5"/>
  <c r="G10" i="5"/>
  <c r="H10" i="5"/>
  <c r="I10" i="5"/>
  <c r="J10" i="5"/>
  <c r="K10" i="5"/>
  <c r="D10" i="5"/>
  <c r="B9" i="5"/>
  <c r="C9" i="5"/>
  <c r="E9" i="5"/>
  <c r="F9" i="5"/>
  <c r="G9" i="5"/>
  <c r="H9" i="5"/>
  <c r="I9" i="5"/>
  <c r="J9" i="5"/>
  <c r="K9" i="5"/>
  <c r="K15" i="5" s="1"/>
  <c r="D9" i="5"/>
  <c r="A57" i="4"/>
  <c r="A51" i="4"/>
  <c r="D5" i="5"/>
  <c r="D15" i="5" s="1"/>
  <c r="E5" i="5"/>
  <c r="E15" i="5" s="1"/>
  <c r="F5" i="5"/>
  <c r="G5" i="5"/>
  <c r="G15" i="5" s="1"/>
  <c r="H5" i="5"/>
  <c r="H15" i="5" s="1"/>
  <c r="I5" i="5"/>
  <c r="I15" i="5" s="1"/>
  <c r="J5" i="5"/>
  <c r="J15" i="5" s="1"/>
  <c r="K5" i="5"/>
  <c r="C5" i="5"/>
  <c r="C15" i="5" s="1"/>
  <c r="B15" i="5"/>
  <c r="A26" i="4"/>
  <c r="U40" i="4"/>
  <c r="U44" i="4" s="1"/>
  <c r="U25" i="4"/>
  <c r="U29" i="4" s="1"/>
  <c r="U10" i="4"/>
  <c r="U14" i="4" s="1"/>
  <c r="R40" i="4"/>
  <c r="R44" i="4" s="1"/>
  <c r="R25" i="4"/>
  <c r="R29" i="4" s="1"/>
  <c r="R10" i="4"/>
  <c r="R14" i="4" s="1"/>
  <c r="B17" i="5" l="1"/>
  <c r="R53" i="4"/>
  <c r="R59" i="4" s="1"/>
  <c r="O25" i="4"/>
  <c r="O29" i="4" s="1"/>
  <c r="O10" i="4"/>
  <c r="O14" i="4" s="1"/>
  <c r="O40" i="4"/>
  <c r="O44" i="4" s="1"/>
  <c r="L40" i="4"/>
  <c r="L44" i="4" s="1"/>
  <c r="I39" i="4"/>
  <c r="I36" i="4"/>
  <c r="I43" i="4"/>
  <c r="F43" i="4"/>
  <c r="F38" i="4"/>
  <c r="F39" i="4" s="1"/>
  <c r="L25" i="4"/>
  <c r="L29" i="4" s="1"/>
  <c r="I21" i="4"/>
  <c r="I25" i="4" s="1"/>
  <c r="I29" i="4" s="1"/>
  <c r="F21" i="4"/>
  <c r="F25" i="4" s="1"/>
  <c r="F29" i="4" s="1"/>
  <c r="L10" i="4"/>
  <c r="L14" i="4" s="1"/>
  <c r="I10" i="4"/>
  <c r="I14" i="4" s="1"/>
  <c r="F10" i="4"/>
  <c r="F14" i="4" s="1"/>
  <c r="I45" i="4" l="1"/>
  <c r="I48" i="4" s="1"/>
  <c r="F45" i="4"/>
  <c r="F48" i="4" s="1"/>
  <c r="A32" i="4" l="1"/>
  <c r="A41" i="4"/>
  <c r="A38" i="4" l="1"/>
  <c r="K6" i="5"/>
  <c r="C6" i="5"/>
  <c r="D6" i="5"/>
  <c r="E6" i="5"/>
  <c r="F6" i="5"/>
  <c r="G6" i="5"/>
  <c r="I6" i="5"/>
  <c r="J6" i="5"/>
  <c r="H6" i="5"/>
  <c r="A44" i="4"/>
  <c r="F17" i="5" l="1"/>
  <c r="F18" i="5" s="1"/>
  <c r="F16" i="5"/>
  <c r="H16" i="5"/>
  <c r="H17" i="5"/>
  <c r="H18" i="5" s="1"/>
  <c r="I17" i="5"/>
  <c r="I18" i="5" s="1"/>
  <c r="I16" i="5"/>
  <c r="D17" i="5"/>
  <c r="D18" i="5" s="1"/>
  <c r="D16" i="5"/>
  <c r="J17" i="5"/>
  <c r="J18" i="5" s="1"/>
  <c r="J16" i="5"/>
  <c r="G17" i="5"/>
  <c r="G18" i="5" s="1"/>
  <c r="G16" i="5"/>
  <c r="E16" i="5"/>
  <c r="E17" i="5"/>
  <c r="E18" i="5" s="1"/>
  <c r="C17" i="5"/>
  <c r="C18" i="5" s="1"/>
  <c r="C16" i="5"/>
  <c r="K16" i="5"/>
  <c r="K17" i="5"/>
</calcChain>
</file>

<file path=xl/sharedStrings.xml><?xml version="1.0" encoding="utf-8"?>
<sst xmlns="http://schemas.openxmlformats.org/spreadsheetml/2006/main" count="273" uniqueCount="118">
  <si>
    <t>TerraProbe Product Cost</t>
  </si>
  <si>
    <t>Component #1 - ESP 32 Module/Arduino Uno</t>
  </si>
  <si>
    <t>Component #2 - NPK Soil Sensor</t>
  </si>
  <si>
    <t>Component #3 - Soil Moisture Sensor</t>
  </si>
  <si>
    <t>Component #4 - Motors</t>
  </si>
  <si>
    <t>Material List</t>
  </si>
  <si>
    <t>ESP 32 Module/Arduino Uno</t>
  </si>
  <si>
    <t>Descripton</t>
  </si>
  <si>
    <t>Main Controller Module</t>
  </si>
  <si>
    <t>Nitrogen, Phosphorous, Pottasium Sensor</t>
  </si>
  <si>
    <t>DC 24V Electric Gear Motor 45W, Qty 2</t>
  </si>
  <si>
    <t>NPK Soil Sensor</t>
  </si>
  <si>
    <t>Vendor</t>
  </si>
  <si>
    <t>Amazon</t>
  </si>
  <si>
    <t>Walmart</t>
  </si>
  <si>
    <t>Soil Moisture Sensor</t>
  </si>
  <si>
    <t>Retail Cost</t>
  </si>
  <si>
    <t>Soil Tempreature</t>
  </si>
  <si>
    <t>Units / yr</t>
  </si>
  <si>
    <t>20V Dual Battry</t>
  </si>
  <si>
    <t>Volumized % of Retail</t>
  </si>
  <si>
    <t>12V/5V Dual Battery</t>
  </si>
  <si>
    <t>High Torque Motors</t>
  </si>
  <si>
    <t>Part Cost</t>
  </si>
  <si>
    <t>Electrical Buttons</t>
  </si>
  <si>
    <t>Display Module</t>
  </si>
  <si>
    <t>Overhead</t>
  </si>
  <si>
    <t>Wires</t>
  </si>
  <si>
    <t>Soldering Iron</t>
  </si>
  <si>
    <t>Component Cost</t>
  </si>
  <si>
    <t>Waterproofing Plastics</t>
  </si>
  <si>
    <t>Rack Gears</t>
  </si>
  <si>
    <t>Pinion Gears</t>
  </si>
  <si>
    <t>Assembly Time [hrs]</t>
  </si>
  <si>
    <t>Steel Cyclinder</t>
  </si>
  <si>
    <t>Foot Stands</t>
  </si>
  <si>
    <t>Buttons, Display Module, Wires</t>
  </si>
  <si>
    <t>Sub-Assembly 1 - Inner Tube</t>
  </si>
  <si>
    <t>hr</t>
  </si>
  <si>
    <t>One Way Valve</t>
  </si>
  <si>
    <t>McMasterCarr</t>
  </si>
  <si>
    <t>Sub-Assembly 2 - Guidance System</t>
  </si>
  <si>
    <t>PLA Plastic (High Quality Roll)</t>
  </si>
  <si>
    <t>Sub-Assembly 3  - Sensor Probe</t>
  </si>
  <si>
    <t>Machining Cost (External)</t>
  </si>
  <si>
    <t>Final Assembly</t>
  </si>
  <si>
    <t>Steels or Metal Scraps</t>
  </si>
  <si>
    <t>Total Assembly Time</t>
  </si>
  <si>
    <t xml:space="preserve">Labor Rate </t>
  </si>
  <si>
    <t>/hr</t>
  </si>
  <si>
    <t>Margin</t>
  </si>
  <si>
    <t>Sales Price</t>
  </si>
  <si>
    <t>Dimensions</t>
  </si>
  <si>
    <t>12 Teeth, 1.17" Carbon Steel Gear, Qty 4</t>
  </si>
  <si>
    <t>Volume</t>
  </si>
  <si>
    <t>Material</t>
  </si>
  <si>
    <t>Alloy Steel</t>
  </si>
  <si>
    <t>Annual Revenue</t>
  </si>
  <si>
    <t>Area Per Part [Feet]</t>
  </si>
  <si>
    <t>Density [kg/in^3]</t>
  </si>
  <si>
    <t>Cost Per Feet</t>
  </si>
  <si>
    <t>Weight [kg]</t>
  </si>
  <si>
    <t>Material Cost</t>
  </si>
  <si>
    <t>Cost / kg</t>
  </si>
  <si>
    <t>Annual Cost</t>
  </si>
  <si>
    <t>Machining/Cutting Hours</t>
  </si>
  <si>
    <t>Labor Rate</t>
  </si>
  <si>
    <t>Annual Gross Profit</t>
  </si>
  <si>
    <t>Labor Cost</t>
  </si>
  <si>
    <t>Material + Labor Cost</t>
  </si>
  <si>
    <t>Years</t>
  </si>
  <si>
    <t>Assumptions</t>
  </si>
  <si>
    <t>First Year - No Sale, Only Production</t>
  </si>
  <si>
    <t>First Sale Year sell 50000 units</t>
  </si>
  <si>
    <t>Second Sale Year onwards 380000 units</t>
  </si>
  <si>
    <t>Profit</t>
  </si>
  <si>
    <t>R&amp;D Costs</t>
  </si>
  <si>
    <t>ROI</t>
  </si>
  <si>
    <t>1 12V Dual Battery
1 5V Battery</t>
  </si>
  <si>
    <t>Shaft for Gear Motor System</t>
  </si>
  <si>
    <t>McMaster</t>
  </si>
  <si>
    <t>Transfer Data for SD Card Module</t>
  </si>
  <si>
    <t>Component #6 - SD Card Module</t>
  </si>
  <si>
    <t>Component #7 - Batteries</t>
  </si>
  <si>
    <t>Component #8 - Electrical Hardware</t>
  </si>
  <si>
    <t>Component #9 - Shaft</t>
  </si>
  <si>
    <t>Component #10 - Rack</t>
  </si>
  <si>
    <t>Component #11 - Barrel Plug</t>
  </si>
  <si>
    <t>Male Female Power Plug Connector</t>
  </si>
  <si>
    <t>Component #15 - Pinion</t>
  </si>
  <si>
    <t>Transceiver Module for Arduino Raspberry Pi</t>
  </si>
  <si>
    <t>Component #16 - Transceiver</t>
  </si>
  <si>
    <t>Metal Gear - 20 Degree Pressure Angle, Round Bore with Set Screw, 16 Pitch, 16 Teeth, Qty 2</t>
  </si>
  <si>
    <t>Metal Gear Rack - 20 Degree Pressure Angle, 16 Pitch, 4 ft Length</t>
  </si>
  <si>
    <t>Component #14 - Key</t>
  </si>
  <si>
    <t>Component #11 - Bearings</t>
  </si>
  <si>
    <t>Ball Bearing, 0.5" Diameter</t>
  </si>
  <si>
    <t>Component #11 - Plexiglass</t>
  </si>
  <si>
    <t>1/8" thick plexiglas, 5" x 7"</t>
  </si>
  <si>
    <t>Component #13 - Sheet Metal</t>
  </si>
  <si>
    <t>Component #12 - Round Tubing</t>
  </si>
  <si>
    <t>2 Hollow Tubes (1 3.125" OD and 1 3.5" OD)</t>
  </si>
  <si>
    <t>TerraProbe Units Sold</t>
  </si>
  <si>
    <t>TerraProbe Cost</t>
  </si>
  <si>
    <t>TerraProbe Revenue</t>
  </si>
  <si>
    <t>Consumable Inner Tubes Units</t>
  </si>
  <si>
    <t>Consumable Inner Tubes Cost</t>
  </si>
  <si>
    <t>Consumable Inner Tubes Margin</t>
  </si>
  <si>
    <t>Consumable Inner Tubes Sales Price</t>
  </si>
  <si>
    <t>Analytics Services Cost</t>
  </si>
  <si>
    <t>Analytics Services Revenue</t>
  </si>
  <si>
    <t>Total Revenue</t>
  </si>
  <si>
    <t>Total Cost</t>
  </si>
  <si>
    <t>Consumable Inner Tubes Revenue</t>
  </si>
  <si>
    <t>Analytics Price (Per Month Per User)</t>
  </si>
  <si>
    <t>Analytics Cost (Maintenance)</t>
  </si>
  <si>
    <t xml:space="preserve"> </t>
  </si>
  <si>
    <t>10-Year Sales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</si>
</sst>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Arial"/>
      <family val="2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0" borderId="1" xfId="0" applyBorder="1"/>
    <xf numFmtId="164" fontId="0" fillId="0" borderId="1" xfId="0" applyNumberFormat="1" applyBorder="1"/>
    <xf numFmtId="10" fontId="0" fillId="0" borderId="1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5" borderId="1" xfId="0" applyFill="1" applyBorder="1"/>
    <xf numFmtId="10" fontId="0" fillId="5" borderId="1" xfId="0" applyNumberForma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right" vertical="center"/>
    </xf>
    <xf numFmtId="0" fontId="0" fillId="7" borderId="1" xfId="0" applyFill="1" applyBorder="1"/>
    <xf numFmtId="164" fontId="0" fillId="7" borderId="1" xfId="0" applyNumberFormat="1" applyFill="1" applyBorder="1"/>
    <xf numFmtId="164" fontId="4" fillId="8" borderId="0" xfId="0" applyNumberFormat="1" applyFont="1" applyFill="1" applyAlignment="1">
      <alignment horizontal="center"/>
    </xf>
    <xf numFmtId="164" fontId="5" fillId="0" borderId="0" xfId="0" applyNumberFormat="1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0" fillId="3" borderId="1" xfId="0" applyFill="1" applyBorder="1"/>
    <xf numFmtId="0" fontId="6" fillId="0" borderId="1" xfId="0" applyFont="1" applyBorder="1" applyAlignment="1">
      <alignment horizontal="center"/>
    </xf>
    <xf numFmtId="164" fontId="0" fillId="0" borderId="0" xfId="0" applyNumberFormat="1"/>
    <xf numFmtId="10" fontId="0" fillId="0" borderId="0" xfId="0" applyNumberFormat="1"/>
    <xf numFmtId="1" fontId="5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 xr:uid="{C7AF2A45-FCB0-4D5D-AA47-316233423E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Number of Units Sold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TerraProbe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Projections!$B$2:$K$2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Projections!$B$4:$K$4</c:f>
              <c:numCache>
                <c:formatCode>General</c:formatCode>
                <c:ptCount val="10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0-4D59-B159-7D828F04F2D9}"/>
            </c:ext>
          </c:extLst>
        </c:ser>
        <c:ser>
          <c:idx val="1"/>
          <c:order val="1"/>
          <c:tx>
            <c:v>Inner Tubes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Projections!$B$8:$K$8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  <c:pt idx="5">
                  <c:v>20000</c:v>
                </c:pt>
                <c:pt idx="6">
                  <c:v>25000</c:v>
                </c:pt>
                <c:pt idx="7">
                  <c:v>27000</c:v>
                </c:pt>
                <c:pt idx="8">
                  <c:v>29000</c:v>
                </c:pt>
                <c:pt idx="9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A-46C8-9C7D-8AC4E9BB4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759135"/>
        <c:axId val="358759615"/>
      </c:barChart>
      <c:catAx>
        <c:axId val="358759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759615"/>
        <c:crosses val="autoZero"/>
        <c:auto val="1"/>
        <c:lblAlgn val="ctr"/>
        <c:lblOffset val="100"/>
        <c:noMultiLvlLbl val="0"/>
      </c:catAx>
      <c:valAx>
        <c:axId val="35875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Units Sold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759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Breakdown</a:t>
            </a:r>
            <a:r>
              <a:rPr lang="en-US" baseline="0"/>
              <a:t> of Estimated Revenue &amp; Cost by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Projections!$A$15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Projections!$B$15:$K$15</c:f>
              <c:numCache>
                <c:formatCode>"$"#,##0.00</c:formatCode>
                <c:ptCount val="10"/>
                <c:pt idx="0">
                  <c:v>10100000</c:v>
                </c:pt>
                <c:pt idx="1">
                  <c:v>4264627.8499999996</c:v>
                </c:pt>
                <c:pt idx="2">
                  <c:v>8850455.7000000011</c:v>
                </c:pt>
                <c:pt idx="3">
                  <c:v>13436283.550000001</c:v>
                </c:pt>
                <c:pt idx="4">
                  <c:v>18022111.400000002</c:v>
                </c:pt>
                <c:pt idx="5">
                  <c:v>22607939.25</c:v>
                </c:pt>
                <c:pt idx="6">
                  <c:v>27193767.100000001</c:v>
                </c:pt>
                <c:pt idx="7">
                  <c:v>31526874.949999999</c:v>
                </c:pt>
                <c:pt idx="8">
                  <c:v>35859982.800000004</c:v>
                </c:pt>
                <c:pt idx="9">
                  <c:v>35944222.800000004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B-428C-A6EE-BFF353AE9A7D}"/>
            </c:ext>
          </c:extLst>
        </c:ser>
        <c:ser>
          <c:idx val="1"/>
          <c:order val="1"/>
          <c:tx>
            <c:strRef>
              <c:f>Projections!$A$16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Projections!$B$16:$K$16</c:f>
              <c:numCache>
                <c:formatCode>"$"#,##0.00</c:formatCode>
                <c:ptCount val="10"/>
                <c:pt idx="0">
                  <c:v>0</c:v>
                </c:pt>
                <c:pt idx="1">
                  <c:v>5805784.8125</c:v>
                </c:pt>
                <c:pt idx="2">
                  <c:v>12243369.625</c:v>
                </c:pt>
                <c:pt idx="3">
                  <c:v>18680954.4375</c:v>
                </c:pt>
                <c:pt idx="4">
                  <c:v>25118539.25</c:v>
                </c:pt>
                <c:pt idx="5">
                  <c:v>31556124.0625</c:v>
                </c:pt>
                <c:pt idx="6">
                  <c:v>37993708.875</c:v>
                </c:pt>
                <c:pt idx="7">
                  <c:v>44052213.6875</c:v>
                </c:pt>
                <c:pt idx="8">
                  <c:v>50110718.5</c:v>
                </c:pt>
                <c:pt idx="9">
                  <c:v>50237078.5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3B-428C-A6EE-BFF353AE9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840975"/>
        <c:axId val="357839055"/>
      </c:barChart>
      <c:catAx>
        <c:axId val="357840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39055"/>
        <c:crosses val="autoZero"/>
        <c:auto val="1"/>
        <c:lblAlgn val="ctr"/>
        <c:lblOffset val="100"/>
        <c:noMultiLvlLbl val="0"/>
      </c:catAx>
      <c:valAx>
        <c:axId val="35783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Dollars</a:t>
                </a:r>
                <a:r>
                  <a:rPr lang="en-US" baseline="0"/>
                  <a:t>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4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</a:t>
            </a:r>
            <a:r>
              <a:rPr lang="en-US" baseline="0"/>
              <a:t> Estimated Profit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Projections!$A$17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Projections!$B$2:$K$2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Projections!$B$17:$K$17</c:f>
              <c:numCache>
                <c:formatCode>"$"#,##0.00</c:formatCode>
                <c:ptCount val="10"/>
                <c:pt idx="0">
                  <c:v>-10100000</c:v>
                </c:pt>
                <c:pt idx="1">
                  <c:v>1541156.9624999999</c:v>
                </c:pt>
                <c:pt idx="2">
                  <c:v>3392913.9249999998</c:v>
                </c:pt>
                <c:pt idx="3">
                  <c:v>5244670.8874999993</c:v>
                </c:pt>
                <c:pt idx="4">
                  <c:v>7096427.8499999996</c:v>
                </c:pt>
                <c:pt idx="5">
                  <c:v>8948184.8125</c:v>
                </c:pt>
                <c:pt idx="6">
                  <c:v>10799941.774999999</c:v>
                </c:pt>
                <c:pt idx="7">
                  <c:v>12525338.737500001</c:v>
                </c:pt>
                <c:pt idx="8">
                  <c:v>14250735.699999999</c:v>
                </c:pt>
                <c:pt idx="9">
                  <c:v>14292855.699999999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8-404D-A609-2333DFAE7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471327"/>
        <c:axId val="343471807"/>
      </c:barChart>
      <c:catAx>
        <c:axId val="343471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471807"/>
        <c:crosses val="autoZero"/>
        <c:auto val="1"/>
        <c:lblAlgn val="ctr"/>
        <c:lblOffset val="100"/>
        <c:noMultiLvlLbl val="0"/>
      </c:catAx>
      <c:valAx>
        <c:axId val="34347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 in Dollars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4713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 Return on Investment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Projections!$A$18</c:f>
              <c:strCache>
                <c:ptCount val="1"/>
                <c:pt idx="0">
                  <c:v>ROI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Projections!$B$2:$K$2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Projections!$B$18:$K$18</c:f>
              <c:numCache>
                <c:formatCode>0.00%</c:formatCode>
                <c:ptCount val="10"/>
                <c:pt idx="1">
                  <c:v>0.10880320886792659</c:v>
                </c:pt>
                <c:pt idx="2">
                  <c:v>0.18510920358866509</c:v>
                </c:pt>
                <c:pt idx="3">
                  <c:v>0.23315986658515439</c:v>
                </c:pt>
                <c:pt idx="4">
                  <c:v>0.26619745354573698</c:v>
                </c:pt>
                <c:pt idx="5">
                  <c:v>0.29030738043659848</c:v>
                </c:pt>
                <c:pt idx="6">
                  <c:v>0.30867765136689729</c:v>
                </c:pt>
                <c:pt idx="7">
                  <c:v>0.31991245372079086</c:v>
                </c:pt>
                <c:pt idx="8">
                  <c:v>0.3289869612183966</c:v>
                </c:pt>
                <c:pt idx="9">
                  <c:v>0.32995932721396543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3-4D2A-8FC0-94F74E9DD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927967"/>
        <c:axId val="1956928927"/>
      </c:lineChart>
      <c:catAx>
        <c:axId val="195692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928927"/>
        <c:crosses val="autoZero"/>
        <c:auto val="1"/>
        <c:lblAlgn val="ctr"/>
        <c:lblOffset val="100"/>
        <c:noMultiLvlLbl val="0"/>
      </c:catAx>
      <c:valAx>
        <c:axId val="195692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 on Investment (ROI)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927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306997</xdr:colOff>
      <xdr:row>1</xdr:row>
      <xdr:rowOff>30040</xdr:rowOff>
    </xdr:from>
    <xdr:to>
      <xdr:col>23</xdr:col>
      <xdr:colOff>593482</xdr:colOff>
      <xdr:row>22</xdr:row>
      <xdr:rowOff>131884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C06C16-D0BB-E910-25C0-84A0CA8CD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307731</xdr:colOff>
      <xdr:row>23</xdr:row>
      <xdr:rowOff>55685</xdr:rowOff>
    </xdr:from>
    <xdr:to>
      <xdr:col>23</xdr:col>
      <xdr:colOff>593480</xdr:colOff>
      <xdr:row>43</xdr:row>
      <xdr:rowOff>146539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9FDBAF-0660-8E6A-2F98-BC8BB5042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319820</xdr:colOff>
      <xdr:row>65</xdr:row>
      <xdr:rowOff>10258</xdr:rowOff>
    </xdr:from>
    <xdr:to>
      <xdr:col>24</xdr:col>
      <xdr:colOff>14654</xdr:colOff>
      <xdr:row>88</xdr:row>
      <xdr:rowOff>73269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C9BD43-29B2-3744-1233-3079F3ABF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317987</xdr:colOff>
      <xdr:row>44</xdr:row>
      <xdr:rowOff>99645</xdr:rowOff>
    </xdr:from>
    <xdr:to>
      <xdr:col>24</xdr:col>
      <xdr:colOff>7327</xdr:colOff>
      <xdr:row>64</xdr:row>
      <xdr:rowOff>102577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FCB507-410B-5A12-29CB-CD916B754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7287B-05B6-4222-8F12-FA25C1B5A94C}">
  <dimension ref="A1:U65"/>
  <sheetViews>
    <sheetView showGridLines="0" topLeftCell="A13" zoomScaleNormal="100" workbookViewId="0">
      <selection activeCell="G46" sqref="G46"/>
    </sheetView>
  </sheetViews>
  <sheetFormatPr defaultRowHeight="15" x14ac:dyDescent="0.25"/>
  <cols>
    <col min="1" max="1" width="46.28515625" customWidth="1"/>
    <col min="2" max="2" width="12.42578125" customWidth="1"/>
    <col min="4" max="4" width="1.28515625" customWidth="1"/>
    <col min="5" max="6" width="24" customWidth="1"/>
    <col min="7" max="7" width="12.42578125" customWidth="1"/>
    <col min="8" max="9" width="26" customWidth="1"/>
    <col min="10" max="10" width="11.140625" bestFit="1" customWidth="1"/>
    <col min="11" max="12" width="26.140625" customWidth="1"/>
    <col min="14" max="14" width="23.28515625" customWidth="1"/>
    <col min="15" max="15" width="33" customWidth="1"/>
    <col min="17" max="17" width="35.85546875" customWidth="1"/>
    <col min="18" max="18" width="23.85546875" customWidth="1"/>
    <col min="20" max="21" width="27.7109375" customWidth="1"/>
  </cols>
  <sheetData>
    <row r="1" spans="1:21" ht="20.25" x14ac:dyDescent="0.3">
      <c r="A1" s="1" t="s">
        <v>0</v>
      </c>
    </row>
    <row r="2" spans="1:21" x14ac:dyDescent="0.25">
      <c r="E2" s="30" t="s">
        <v>1</v>
      </c>
      <c r="F2" s="30"/>
      <c r="H2" s="30" t="s">
        <v>2</v>
      </c>
      <c r="I2" s="30"/>
      <c r="K2" s="30" t="s">
        <v>3</v>
      </c>
      <c r="L2" s="30"/>
      <c r="N2" s="30" t="s">
        <v>4</v>
      </c>
      <c r="O2" s="30"/>
      <c r="Q2" s="30" t="s">
        <v>82</v>
      </c>
      <c r="R2" s="30"/>
      <c r="T2" s="30" t="s">
        <v>82</v>
      </c>
      <c r="U2" s="30"/>
    </row>
    <row r="3" spans="1:21" ht="18.75" x14ac:dyDescent="0.3">
      <c r="A3" s="26" t="s">
        <v>5</v>
      </c>
      <c r="E3" s="30"/>
      <c r="F3" s="30"/>
      <c r="H3" s="30"/>
      <c r="I3" s="30"/>
      <c r="K3" s="30"/>
      <c r="L3" s="30"/>
      <c r="N3" s="30"/>
      <c r="O3" s="30"/>
      <c r="Q3" s="30"/>
      <c r="R3" s="30"/>
      <c r="T3" s="30"/>
      <c r="U3" s="30"/>
    </row>
    <row r="4" spans="1:21" ht="34.5" customHeight="1" x14ac:dyDescent="0.25">
      <c r="A4" s="25" t="s">
        <v>6</v>
      </c>
      <c r="E4" s="12" t="s">
        <v>7</v>
      </c>
      <c r="F4" s="14" t="s">
        <v>8</v>
      </c>
      <c r="G4" s="13"/>
      <c r="H4" s="12" t="s">
        <v>7</v>
      </c>
      <c r="I4" s="17" t="s">
        <v>9</v>
      </c>
      <c r="K4" s="12" t="s">
        <v>7</v>
      </c>
      <c r="L4" s="17" t="s">
        <v>9</v>
      </c>
      <c r="N4" s="12" t="s">
        <v>7</v>
      </c>
      <c r="O4" s="17" t="s">
        <v>10</v>
      </c>
      <c r="Q4" s="12" t="s">
        <v>7</v>
      </c>
      <c r="R4" s="17" t="s">
        <v>81</v>
      </c>
      <c r="T4" s="12" t="s">
        <v>7</v>
      </c>
      <c r="U4" s="17" t="s">
        <v>81</v>
      </c>
    </row>
    <row r="5" spans="1:21" x14ac:dyDescent="0.25">
      <c r="A5" s="25" t="s">
        <v>11</v>
      </c>
      <c r="E5" s="12" t="s">
        <v>12</v>
      </c>
      <c r="F5" s="14" t="s">
        <v>13</v>
      </c>
      <c r="G5" s="13"/>
      <c r="H5" s="12" t="s">
        <v>12</v>
      </c>
      <c r="I5" s="14" t="s">
        <v>13</v>
      </c>
      <c r="K5" s="12" t="s">
        <v>12</v>
      </c>
      <c r="L5" s="14" t="s">
        <v>13</v>
      </c>
      <c r="N5" s="12" t="s">
        <v>12</v>
      </c>
      <c r="O5" s="14" t="s">
        <v>14</v>
      </c>
      <c r="Q5" s="12" t="s">
        <v>12</v>
      </c>
      <c r="R5" s="14" t="s">
        <v>13</v>
      </c>
      <c r="T5" s="12" t="s">
        <v>12</v>
      </c>
      <c r="U5" s="14" t="s">
        <v>13</v>
      </c>
    </row>
    <row r="6" spans="1:21" x14ac:dyDescent="0.25">
      <c r="A6" s="25" t="s">
        <v>15</v>
      </c>
      <c r="E6" s="12" t="s">
        <v>16</v>
      </c>
      <c r="F6" s="15">
        <v>15.99</v>
      </c>
      <c r="G6" s="13"/>
      <c r="H6" s="12" t="s">
        <v>16</v>
      </c>
      <c r="I6" s="15">
        <v>49.52</v>
      </c>
      <c r="K6" s="12" t="s">
        <v>16</v>
      </c>
      <c r="L6" s="15">
        <v>8.68</v>
      </c>
      <c r="N6" s="12" t="s">
        <v>16</v>
      </c>
      <c r="O6" s="15">
        <v>95.06</v>
      </c>
      <c r="Q6" s="12" t="s">
        <v>16</v>
      </c>
      <c r="R6" s="15">
        <v>15</v>
      </c>
      <c r="T6" s="12" t="s">
        <v>16</v>
      </c>
      <c r="U6" s="15">
        <v>15</v>
      </c>
    </row>
    <row r="7" spans="1:21" x14ac:dyDescent="0.25">
      <c r="A7" s="25" t="s">
        <v>17</v>
      </c>
      <c r="E7" s="12" t="s">
        <v>18</v>
      </c>
      <c r="F7" s="14">
        <v>5000</v>
      </c>
      <c r="G7" s="13"/>
      <c r="H7" s="12" t="s">
        <v>18</v>
      </c>
      <c r="I7" s="14">
        <v>5000</v>
      </c>
      <c r="K7" s="12" t="s">
        <v>18</v>
      </c>
      <c r="L7" s="14">
        <v>5000</v>
      </c>
      <c r="N7" s="12" t="s">
        <v>18</v>
      </c>
      <c r="O7" s="14">
        <v>5000</v>
      </c>
      <c r="Q7" s="12" t="s">
        <v>18</v>
      </c>
      <c r="R7" s="14">
        <v>5000</v>
      </c>
      <c r="T7" s="12" t="s">
        <v>18</v>
      </c>
      <c r="U7" s="14">
        <v>5000</v>
      </c>
    </row>
    <row r="8" spans="1:21" x14ac:dyDescent="0.25">
      <c r="A8" s="25" t="s">
        <v>19</v>
      </c>
      <c r="E8" s="12" t="s">
        <v>20</v>
      </c>
      <c r="F8" s="16">
        <v>0.8</v>
      </c>
      <c r="G8" s="13"/>
      <c r="H8" s="12" t="s">
        <v>20</v>
      </c>
      <c r="I8" s="16">
        <v>0.8</v>
      </c>
      <c r="K8" s="12" t="s">
        <v>20</v>
      </c>
      <c r="L8" s="16">
        <v>0.8</v>
      </c>
      <c r="N8" s="12" t="s">
        <v>20</v>
      </c>
      <c r="O8" s="16">
        <v>0.8</v>
      </c>
      <c r="Q8" s="12" t="s">
        <v>20</v>
      </c>
      <c r="R8" s="16">
        <v>0.8</v>
      </c>
      <c r="T8" s="12" t="s">
        <v>20</v>
      </c>
      <c r="U8" s="16">
        <v>0.8</v>
      </c>
    </row>
    <row r="9" spans="1:21" x14ac:dyDescent="0.25">
      <c r="A9" s="25" t="s">
        <v>21</v>
      </c>
    </row>
    <row r="10" spans="1:21" x14ac:dyDescent="0.25">
      <c r="A10" s="25" t="s">
        <v>22</v>
      </c>
      <c r="E10" s="6" t="s">
        <v>23</v>
      </c>
      <c r="F10" s="7">
        <f>F6*F8</f>
        <v>12.792000000000002</v>
      </c>
      <c r="H10" s="6" t="s">
        <v>23</v>
      </c>
      <c r="I10" s="7">
        <f>I6*I8</f>
        <v>39.616000000000007</v>
      </c>
      <c r="K10" s="6" t="s">
        <v>23</v>
      </c>
      <c r="L10" s="7">
        <f>L6*L8</f>
        <v>6.944</v>
      </c>
      <c r="N10" s="6" t="s">
        <v>23</v>
      </c>
      <c r="O10" s="7">
        <f>O6*O8</f>
        <v>76.048000000000002</v>
      </c>
      <c r="Q10" s="6" t="s">
        <v>23</v>
      </c>
      <c r="R10" s="7">
        <f>R6*R8</f>
        <v>12</v>
      </c>
      <c r="T10" s="6" t="s">
        <v>23</v>
      </c>
      <c r="U10" s="7">
        <f>U6*U8</f>
        <v>12</v>
      </c>
    </row>
    <row r="11" spans="1:21" x14ac:dyDescent="0.25">
      <c r="A11" s="25" t="s">
        <v>24</v>
      </c>
    </row>
    <row r="12" spans="1:21" x14ac:dyDescent="0.25">
      <c r="A12" s="25" t="s">
        <v>25</v>
      </c>
      <c r="E12" s="8" t="s">
        <v>26</v>
      </c>
      <c r="F12" s="9">
        <v>8.5000000000000006E-2</v>
      </c>
      <c r="H12" s="8" t="s">
        <v>26</v>
      </c>
      <c r="I12" s="9">
        <v>8.5000000000000006E-2</v>
      </c>
      <c r="K12" s="8" t="s">
        <v>26</v>
      </c>
      <c r="L12" s="9">
        <v>8.5000000000000006E-2</v>
      </c>
      <c r="N12" s="8" t="s">
        <v>26</v>
      </c>
      <c r="O12" s="9">
        <v>8.5000000000000006E-2</v>
      </c>
      <c r="Q12" s="8" t="s">
        <v>26</v>
      </c>
      <c r="R12" s="9">
        <v>8.5000000000000006E-2</v>
      </c>
      <c r="T12" s="8" t="s">
        <v>26</v>
      </c>
      <c r="U12" s="9">
        <v>8.5000000000000006E-2</v>
      </c>
    </row>
    <row r="13" spans="1:21" x14ac:dyDescent="0.25">
      <c r="A13" s="25" t="s">
        <v>27</v>
      </c>
    </row>
    <row r="14" spans="1:21" x14ac:dyDescent="0.25">
      <c r="A14" s="25" t="s">
        <v>28</v>
      </c>
      <c r="E14" s="10" t="s">
        <v>29</v>
      </c>
      <c r="F14" s="11">
        <f>F10*(1+F12)</f>
        <v>13.879320000000002</v>
      </c>
      <c r="H14" s="10" t="s">
        <v>29</v>
      </c>
      <c r="I14" s="11">
        <f>I10*(1+I12)</f>
        <v>42.983360000000005</v>
      </c>
      <c r="K14" s="10" t="s">
        <v>29</v>
      </c>
      <c r="L14" s="11">
        <f>L10*(1+L12)</f>
        <v>7.5342399999999996</v>
      </c>
      <c r="N14" s="10" t="s">
        <v>29</v>
      </c>
      <c r="O14" s="11">
        <f>O10*(1+O12)</f>
        <v>82.512079999999997</v>
      </c>
      <c r="Q14" s="10" t="s">
        <v>29</v>
      </c>
      <c r="R14" s="11">
        <f>R10*(1+R12)</f>
        <v>13.02</v>
      </c>
      <c r="T14" s="10" t="s">
        <v>29</v>
      </c>
      <c r="U14" s="11">
        <f>U10*(1+U12)</f>
        <v>13.02</v>
      </c>
    </row>
    <row r="15" spans="1:21" x14ac:dyDescent="0.25">
      <c r="A15" s="25" t="s">
        <v>30</v>
      </c>
      <c r="E15" s="27"/>
    </row>
    <row r="16" spans="1:21" x14ac:dyDescent="0.25">
      <c r="A16" s="2" t="s">
        <v>31</v>
      </c>
    </row>
    <row r="17" spans="1:21" x14ac:dyDescent="0.25">
      <c r="A17" s="2" t="s">
        <v>32</v>
      </c>
      <c r="E17" s="30" t="s">
        <v>83</v>
      </c>
      <c r="F17" s="30"/>
      <c r="H17" s="30" t="s">
        <v>84</v>
      </c>
      <c r="I17" s="30"/>
      <c r="K17" s="30" t="s">
        <v>85</v>
      </c>
      <c r="L17" s="30"/>
      <c r="N17" s="30" t="s">
        <v>86</v>
      </c>
      <c r="O17" s="30"/>
      <c r="Q17" s="30" t="s">
        <v>87</v>
      </c>
      <c r="R17" s="30"/>
      <c r="T17" s="30" t="s">
        <v>95</v>
      </c>
      <c r="U17" s="30"/>
    </row>
    <row r="18" spans="1:21" x14ac:dyDescent="0.25">
      <c r="A18" s="2" t="s">
        <v>34</v>
      </c>
      <c r="E18" s="30"/>
      <c r="F18" s="30"/>
      <c r="H18" s="30"/>
      <c r="I18" s="30"/>
      <c r="K18" s="30"/>
      <c r="L18" s="30"/>
      <c r="N18" s="30"/>
      <c r="O18" s="30"/>
      <c r="Q18" s="30"/>
      <c r="R18" s="30"/>
      <c r="T18" s="30"/>
      <c r="U18" s="30"/>
    </row>
    <row r="19" spans="1:21" ht="39.75" customHeight="1" x14ac:dyDescent="0.25">
      <c r="A19" s="2" t="s">
        <v>35</v>
      </c>
      <c r="E19" s="12" t="s">
        <v>7</v>
      </c>
      <c r="F19" s="17" t="s">
        <v>78</v>
      </c>
      <c r="H19" s="12" t="s">
        <v>7</v>
      </c>
      <c r="I19" s="17" t="s">
        <v>36</v>
      </c>
      <c r="K19" s="12" t="s">
        <v>7</v>
      </c>
      <c r="L19" s="17" t="s">
        <v>79</v>
      </c>
      <c r="N19" s="12" t="s">
        <v>7</v>
      </c>
      <c r="O19" s="17" t="s">
        <v>93</v>
      </c>
      <c r="Q19" s="12" t="s">
        <v>7</v>
      </c>
      <c r="R19" s="17" t="s">
        <v>88</v>
      </c>
      <c r="T19" s="12" t="s">
        <v>7</v>
      </c>
      <c r="U19" s="17" t="s">
        <v>96</v>
      </c>
    </row>
    <row r="20" spans="1:21" x14ac:dyDescent="0.25">
      <c r="A20" s="2" t="s">
        <v>39</v>
      </c>
      <c r="E20" s="12" t="s">
        <v>12</v>
      </c>
      <c r="F20" s="14" t="s">
        <v>13</v>
      </c>
      <c r="H20" s="12" t="s">
        <v>12</v>
      </c>
      <c r="I20" s="14" t="s">
        <v>13</v>
      </c>
      <c r="K20" s="12" t="s">
        <v>12</v>
      </c>
      <c r="L20" s="14" t="s">
        <v>80</v>
      </c>
      <c r="N20" s="12" t="s">
        <v>12</v>
      </c>
      <c r="O20" s="14" t="s">
        <v>40</v>
      </c>
      <c r="Q20" s="12" t="s">
        <v>12</v>
      </c>
      <c r="R20" s="14" t="s">
        <v>13</v>
      </c>
      <c r="T20" s="12" t="s">
        <v>12</v>
      </c>
      <c r="U20" s="14" t="s">
        <v>40</v>
      </c>
    </row>
    <row r="21" spans="1:21" x14ac:dyDescent="0.25">
      <c r="A21" s="2" t="s">
        <v>42</v>
      </c>
      <c r="E21" s="12" t="s">
        <v>16</v>
      </c>
      <c r="F21" s="15">
        <f>31.98+29.99</f>
        <v>61.97</v>
      </c>
      <c r="H21" s="12" t="s">
        <v>16</v>
      </c>
      <c r="I21" s="15">
        <f>0.35*5+14.99+6.49</f>
        <v>23.230000000000004</v>
      </c>
      <c r="K21" s="12" t="s">
        <v>16</v>
      </c>
      <c r="L21" s="15">
        <v>25.99</v>
      </c>
      <c r="N21" s="12" t="s">
        <v>16</v>
      </c>
      <c r="O21" s="15">
        <v>70.11</v>
      </c>
      <c r="Q21" s="12" t="s">
        <v>16</v>
      </c>
      <c r="R21" s="15">
        <v>0.95</v>
      </c>
      <c r="T21" s="12" t="s">
        <v>16</v>
      </c>
      <c r="U21" s="15">
        <v>32.159999999999997</v>
      </c>
    </row>
    <row r="22" spans="1:21" x14ac:dyDescent="0.25">
      <c r="A22" s="2" t="s">
        <v>44</v>
      </c>
      <c r="E22" s="12" t="s">
        <v>18</v>
      </c>
      <c r="F22" s="14">
        <v>5000</v>
      </c>
      <c r="H22" s="12" t="s">
        <v>18</v>
      </c>
      <c r="I22" s="14">
        <v>5000</v>
      </c>
      <c r="K22" s="12" t="s">
        <v>18</v>
      </c>
      <c r="L22" s="14">
        <v>5000</v>
      </c>
      <c r="N22" s="12" t="s">
        <v>18</v>
      </c>
      <c r="O22" s="14">
        <v>10000</v>
      </c>
      <c r="Q22" s="12" t="s">
        <v>18</v>
      </c>
      <c r="R22" s="14">
        <v>5000</v>
      </c>
      <c r="T22" s="12" t="s">
        <v>18</v>
      </c>
      <c r="U22" s="14">
        <v>5000</v>
      </c>
    </row>
    <row r="23" spans="1:21" x14ac:dyDescent="0.25">
      <c r="A23" s="2" t="s">
        <v>46</v>
      </c>
      <c r="E23" s="12" t="s">
        <v>20</v>
      </c>
      <c r="F23" s="16">
        <v>0.8</v>
      </c>
      <c r="H23" s="12" t="s">
        <v>20</v>
      </c>
      <c r="I23" s="16">
        <v>0.8</v>
      </c>
      <c r="K23" s="12" t="s">
        <v>20</v>
      </c>
      <c r="L23" s="16">
        <v>0.8</v>
      </c>
      <c r="N23" s="12" t="s">
        <v>20</v>
      </c>
      <c r="O23" s="16">
        <v>0.8</v>
      </c>
      <c r="Q23" s="12" t="s">
        <v>20</v>
      </c>
      <c r="R23" s="16">
        <v>0.8</v>
      </c>
      <c r="T23" s="12" t="s">
        <v>20</v>
      </c>
      <c r="U23" s="16">
        <v>0.8</v>
      </c>
    </row>
    <row r="25" spans="1:21" ht="18.75" x14ac:dyDescent="0.3">
      <c r="A25" s="22" t="s">
        <v>0</v>
      </c>
      <c r="E25" s="6" t="s">
        <v>23</v>
      </c>
      <c r="F25" s="7">
        <f>F21*F23</f>
        <v>49.576000000000001</v>
      </c>
      <c r="H25" s="6" t="s">
        <v>23</v>
      </c>
      <c r="I25" s="7">
        <f>I21*I23</f>
        <v>18.584000000000003</v>
      </c>
      <c r="K25" s="6" t="s">
        <v>23</v>
      </c>
      <c r="L25" s="7">
        <f>L21*L23</f>
        <v>20.792000000000002</v>
      </c>
      <c r="N25" s="6" t="s">
        <v>23</v>
      </c>
      <c r="O25" s="7">
        <f>O21*O23</f>
        <v>56.088000000000001</v>
      </c>
      <c r="Q25" s="6" t="s">
        <v>23</v>
      </c>
      <c r="R25" s="7">
        <f>R21*R23</f>
        <v>0.76</v>
      </c>
      <c r="T25" s="6" t="s">
        <v>23</v>
      </c>
      <c r="U25" s="7">
        <f>U21*U23</f>
        <v>25.727999999999998</v>
      </c>
    </row>
    <row r="26" spans="1:21" ht="18.75" x14ac:dyDescent="0.3">
      <c r="A26" s="23">
        <f>F14+I14+L14+O14+F29+I29+L29+O29+R59+F48+I48+L44+O44+R14+U14+R29+U29+U44+R44</f>
        <v>832.92556999999999</v>
      </c>
    </row>
    <row r="27" spans="1:21" x14ac:dyDescent="0.25">
      <c r="E27" s="8" t="s">
        <v>26</v>
      </c>
      <c r="F27" s="9">
        <v>8.5000000000000006E-2</v>
      </c>
      <c r="H27" s="8" t="s">
        <v>26</v>
      </c>
      <c r="I27" s="9">
        <v>8.5000000000000006E-2</v>
      </c>
      <c r="K27" s="8" t="s">
        <v>26</v>
      </c>
      <c r="L27" s="9">
        <v>8.5000000000000006E-2</v>
      </c>
      <c r="N27" s="8" t="s">
        <v>26</v>
      </c>
      <c r="O27" s="9">
        <v>8.5000000000000006E-2</v>
      </c>
      <c r="Q27" s="8" t="s">
        <v>26</v>
      </c>
      <c r="R27" s="9">
        <v>8.5000000000000006E-2</v>
      </c>
      <c r="T27" s="8" t="s">
        <v>26</v>
      </c>
      <c r="U27" s="9">
        <v>8.5000000000000006E-2</v>
      </c>
    </row>
    <row r="28" spans="1:21" ht="18.75" x14ac:dyDescent="0.3">
      <c r="A28" s="22" t="s">
        <v>50</v>
      </c>
    </row>
    <row r="29" spans="1:21" ht="18.75" x14ac:dyDescent="0.3">
      <c r="A29" s="24">
        <v>0.25</v>
      </c>
      <c r="E29" s="10" t="s">
        <v>29</v>
      </c>
      <c r="F29" s="11">
        <f>F25*(1+F27)</f>
        <v>53.789960000000001</v>
      </c>
      <c r="H29" s="10" t="s">
        <v>29</v>
      </c>
      <c r="I29" s="11">
        <f>I25*(1+I27)</f>
        <v>20.163640000000004</v>
      </c>
      <c r="K29" s="10" t="s">
        <v>29</v>
      </c>
      <c r="L29" s="11">
        <f>L25*(1+L27)</f>
        <v>22.55932</v>
      </c>
      <c r="N29" s="10" t="s">
        <v>29</v>
      </c>
      <c r="O29" s="11">
        <f>O25*(1+O27)</f>
        <v>60.85548</v>
      </c>
      <c r="Q29" s="10" t="s">
        <v>29</v>
      </c>
      <c r="R29" s="11">
        <f>R25*(1+R27)</f>
        <v>0.8246</v>
      </c>
      <c r="T29" s="10" t="s">
        <v>29</v>
      </c>
      <c r="U29" s="11">
        <f>U25*(1+U27)</f>
        <v>27.914879999999997</v>
      </c>
    </row>
    <row r="30" spans="1:21" ht="18.75" x14ac:dyDescent="0.3">
      <c r="A30" s="24"/>
    </row>
    <row r="31" spans="1:21" ht="18.75" x14ac:dyDescent="0.3">
      <c r="A31" s="22" t="s">
        <v>51</v>
      </c>
    </row>
    <row r="32" spans="1:21" ht="18.75" x14ac:dyDescent="0.3">
      <c r="A32" s="23">
        <f>A26*(1+A29)</f>
        <v>1041.1569625</v>
      </c>
      <c r="E32" s="30" t="s">
        <v>100</v>
      </c>
      <c r="F32" s="30"/>
      <c r="H32" s="30" t="s">
        <v>99</v>
      </c>
      <c r="I32" s="30"/>
      <c r="K32" s="30" t="s">
        <v>94</v>
      </c>
      <c r="L32" s="30"/>
      <c r="N32" s="30" t="s">
        <v>89</v>
      </c>
      <c r="O32" s="30"/>
      <c r="Q32" s="30" t="s">
        <v>91</v>
      </c>
      <c r="R32" s="30"/>
      <c r="T32" s="30" t="s">
        <v>97</v>
      </c>
      <c r="U32" s="30"/>
    </row>
    <row r="33" spans="1:21" ht="21" customHeight="1" x14ac:dyDescent="0.25">
      <c r="E33" s="30"/>
      <c r="F33" s="30"/>
      <c r="H33" s="30"/>
      <c r="I33" s="30"/>
      <c r="K33" s="30"/>
      <c r="L33" s="30"/>
      <c r="N33" s="30"/>
      <c r="O33" s="30"/>
      <c r="Q33" s="30"/>
      <c r="R33" s="30"/>
      <c r="T33" s="30"/>
      <c r="U33" s="30"/>
    </row>
    <row r="34" spans="1:21" ht="27.75" customHeight="1" x14ac:dyDescent="0.3">
      <c r="A34" s="22" t="s">
        <v>117</v>
      </c>
      <c r="E34" s="12" t="s">
        <v>52</v>
      </c>
      <c r="F34" s="17" t="s">
        <v>101</v>
      </c>
      <c r="H34" s="12" t="s">
        <v>54</v>
      </c>
      <c r="I34" s="14">
        <v>140</v>
      </c>
      <c r="K34" s="12" t="s">
        <v>7</v>
      </c>
      <c r="L34" s="17" t="s">
        <v>53</v>
      </c>
      <c r="N34" s="12" t="s">
        <v>7</v>
      </c>
      <c r="O34" s="17" t="s">
        <v>92</v>
      </c>
      <c r="Q34" s="12" t="s">
        <v>7</v>
      </c>
      <c r="R34" s="17" t="s">
        <v>90</v>
      </c>
      <c r="T34" s="12" t="s">
        <v>7</v>
      </c>
      <c r="U34" s="17" t="s">
        <v>98</v>
      </c>
    </row>
    <row r="35" spans="1:21" ht="23.25" customHeight="1" x14ac:dyDescent="0.3">
      <c r="A35" s="29">
        <v>40000</v>
      </c>
      <c r="E35" s="12" t="s">
        <v>12</v>
      </c>
      <c r="F35" s="14" t="s">
        <v>40</v>
      </c>
      <c r="H35" s="12" t="s">
        <v>55</v>
      </c>
      <c r="I35" s="15" t="s">
        <v>56</v>
      </c>
      <c r="K35" s="12" t="s">
        <v>12</v>
      </c>
      <c r="L35" s="14" t="s">
        <v>40</v>
      </c>
      <c r="N35" s="12" t="s">
        <v>12</v>
      </c>
      <c r="O35" s="14" t="s">
        <v>40</v>
      </c>
      <c r="Q35" s="12" t="s">
        <v>12</v>
      </c>
      <c r="R35" s="14" t="s">
        <v>13</v>
      </c>
      <c r="T35" s="12" t="s">
        <v>12</v>
      </c>
      <c r="U35" s="14" t="s">
        <v>13</v>
      </c>
    </row>
    <row r="36" spans="1:21" x14ac:dyDescent="0.25">
      <c r="E36" s="12" t="s">
        <v>55</v>
      </c>
      <c r="F36" s="15">
        <v>120</v>
      </c>
      <c r="H36" s="12" t="s">
        <v>59</v>
      </c>
      <c r="I36" s="19">
        <f>0.28*0.453592</f>
        <v>0.12700576000000002</v>
      </c>
      <c r="K36" s="12" t="s">
        <v>16</v>
      </c>
      <c r="L36" s="15">
        <v>15.16</v>
      </c>
      <c r="N36" s="12" t="s">
        <v>16</v>
      </c>
      <c r="O36" s="15">
        <v>90.42</v>
      </c>
      <c r="Q36" s="12" t="s">
        <v>16</v>
      </c>
      <c r="R36" s="15">
        <v>1</v>
      </c>
      <c r="T36" s="12" t="s">
        <v>16</v>
      </c>
      <c r="U36" s="15">
        <v>5.99</v>
      </c>
    </row>
    <row r="37" spans="1:21" ht="18.75" x14ac:dyDescent="0.3">
      <c r="A37" s="22" t="s">
        <v>57</v>
      </c>
      <c r="E37" s="12" t="s">
        <v>58</v>
      </c>
      <c r="F37" s="14">
        <v>2</v>
      </c>
      <c r="H37" s="12" t="s">
        <v>61</v>
      </c>
      <c r="I37" s="19">
        <v>25</v>
      </c>
      <c r="K37" s="12" t="s">
        <v>18</v>
      </c>
      <c r="L37" s="14">
        <v>5000</v>
      </c>
      <c r="N37" s="12" t="s">
        <v>18</v>
      </c>
      <c r="O37" s="14">
        <v>10000</v>
      </c>
      <c r="Q37" s="12" t="s">
        <v>18</v>
      </c>
      <c r="R37" s="14">
        <v>5000</v>
      </c>
      <c r="T37" s="12" t="s">
        <v>18</v>
      </c>
      <c r="U37" s="14">
        <v>5000</v>
      </c>
    </row>
    <row r="38" spans="1:21" ht="18.75" x14ac:dyDescent="0.3">
      <c r="A38" s="23">
        <f>A35*A32</f>
        <v>41646278.5</v>
      </c>
      <c r="E38" s="12" t="s">
        <v>60</v>
      </c>
      <c r="F38" s="15">
        <f>F36*(1/100)</f>
        <v>1.2</v>
      </c>
      <c r="H38" s="12" t="s">
        <v>63</v>
      </c>
      <c r="I38" s="15">
        <v>4.41</v>
      </c>
      <c r="K38" s="12" t="s">
        <v>20</v>
      </c>
      <c r="L38" s="16">
        <v>0.9</v>
      </c>
      <c r="N38" s="12" t="s">
        <v>20</v>
      </c>
      <c r="O38" s="16">
        <v>0.9</v>
      </c>
      <c r="Q38" s="12" t="s">
        <v>20</v>
      </c>
      <c r="R38" s="16">
        <v>0.8</v>
      </c>
      <c r="T38" s="12" t="s">
        <v>20</v>
      </c>
      <c r="U38" s="16">
        <v>0.8</v>
      </c>
    </row>
    <row r="39" spans="1:21" x14ac:dyDescent="0.25">
      <c r="E39" s="6" t="s">
        <v>62</v>
      </c>
      <c r="F39" s="7">
        <f>F38*F37</f>
        <v>2.4</v>
      </c>
      <c r="H39" s="6" t="s">
        <v>62</v>
      </c>
      <c r="I39" s="7">
        <f>I38*I37</f>
        <v>110.25</v>
      </c>
    </row>
    <row r="40" spans="1:21" ht="18.75" x14ac:dyDescent="0.3">
      <c r="A40" s="22" t="s">
        <v>64</v>
      </c>
      <c r="K40" s="6" t="s">
        <v>23</v>
      </c>
      <c r="L40" s="7">
        <f>L36*L38</f>
        <v>13.644</v>
      </c>
      <c r="N40" s="6" t="s">
        <v>23</v>
      </c>
      <c r="O40" s="7">
        <f>O36*O38</f>
        <v>81.378</v>
      </c>
      <c r="Q40" s="6" t="s">
        <v>23</v>
      </c>
      <c r="R40" s="7">
        <f>R36*R38</f>
        <v>0.8</v>
      </c>
      <c r="T40" s="6" t="s">
        <v>23</v>
      </c>
      <c r="U40" s="7">
        <f>U36*U38</f>
        <v>4.7920000000000007</v>
      </c>
    </row>
    <row r="41" spans="1:21" ht="18.75" x14ac:dyDescent="0.3">
      <c r="A41" s="23">
        <f>A26*A35</f>
        <v>33317022.800000001</v>
      </c>
      <c r="E41" s="12" t="s">
        <v>65</v>
      </c>
      <c r="F41" s="3">
        <v>1</v>
      </c>
      <c r="H41" s="12" t="s">
        <v>65</v>
      </c>
      <c r="I41" s="3">
        <v>0.25</v>
      </c>
    </row>
    <row r="42" spans="1:21" x14ac:dyDescent="0.25">
      <c r="E42" s="12" t="s">
        <v>66</v>
      </c>
      <c r="F42" s="4">
        <v>60</v>
      </c>
      <c r="H42" s="12" t="s">
        <v>66</v>
      </c>
      <c r="I42" s="4">
        <v>60</v>
      </c>
      <c r="K42" s="8" t="s">
        <v>26</v>
      </c>
      <c r="L42" s="9">
        <v>8.5000000000000006E-2</v>
      </c>
      <c r="N42" s="8" t="s">
        <v>26</v>
      </c>
      <c r="O42" s="9">
        <v>8.5000000000000006E-2</v>
      </c>
      <c r="Q42" s="8" t="s">
        <v>26</v>
      </c>
      <c r="R42" s="9">
        <v>8.5000000000000006E-2</v>
      </c>
      <c r="T42" s="8" t="s">
        <v>26</v>
      </c>
      <c r="U42" s="9">
        <v>8.5000000000000006E-2</v>
      </c>
    </row>
    <row r="43" spans="1:21" ht="18.75" x14ac:dyDescent="0.3">
      <c r="A43" s="22" t="s">
        <v>67</v>
      </c>
      <c r="E43" s="20" t="s">
        <v>68</v>
      </c>
      <c r="F43" s="21">
        <f>F42*F41</f>
        <v>60</v>
      </c>
      <c r="H43" s="20" t="s">
        <v>68</v>
      </c>
      <c r="I43" s="21">
        <f>I42*I41</f>
        <v>15</v>
      </c>
    </row>
    <row r="44" spans="1:21" ht="18.75" x14ac:dyDescent="0.3">
      <c r="A44" s="23">
        <f>A38-A41</f>
        <v>8329255.6999999993</v>
      </c>
      <c r="K44" s="10" t="s">
        <v>29</v>
      </c>
      <c r="L44" s="11">
        <f>L40*(1+L42)</f>
        <v>14.803739999999999</v>
      </c>
      <c r="N44" s="10" t="s">
        <v>29</v>
      </c>
      <c r="O44" s="11">
        <f>O40*(1+O42)</f>
        <v>88.29513</v>
      </c>
      <c r="Q44" s="10" t="s">
        <v>29</v>
      </c>
      <c r="R44" s="11">
        <f>R40*(1+R42)</f>
        <v>0.86799999999999999</v>
      </c>
      <c r="T44" s="10" t="s">
        <v>29</v>
      </c>
      <c r="U44" s="11">
        <f>U40*(1+U42)</f>
        <v>5.1993200000000002</v>
      </c>
    </row>
    <row r="45" spans="1:21" x14ac:dyDescent="0.25">
      <c r="E45" s="3" t="s">
        <v>69</v>
      </c>
      <c r="F45" s="4">
        <f>F43+F39</f>
        <v>62.4</v>
      </c>
      <c r="H45" s="3" t="s">
        <v>69</v>
      </c>
      <c r="I45" s="4">
        <f>I43+I39</f>
        <v>125.25</v>
      </c>
    </row>
    <row r="46" spans="1:21" x14ac:dyDescent="0.25">
      <c r="E46" s="3" t="s">
        <v>26</v>
      </c>
      <c r="F46" s="5">
        <v>0.35</v>
      </c>
      <c r="H46" s="3" t="s">
        <v>26</v>
      </c>
      <c r="I46" s="5">
        <v>0.35</v>
      </c>
    </row>
    <row r="47" spans="1:21" x14ac:dyDescent="0.25">
      <c r="Q47" s="30" t="s">
        <v>33</v>
      </c>
      <c r="R47" s="30"/>
    </row>
    <row r="48" spans="1:21" x14ac:dyDescent="0.25">
      <c r="E48" s="10" t="s">
        <v>29</v>
      </c>
      <c r="F48" s="11">
        <f>F45*(1+F46)</f>
        <v>84.240000000000009</v>
      </c>
      <c r="H48" s="10" t="s">
        <v>29</v>
      </c>
      <c r="I48" s="11">
        <f>I45*(1+I46)</f>
        <v>169.08750000000001</v>
      </c>
      <c r="Q48" s="30"/>
      <c r="R48" s="30"/>
    </row>
    <row r="49" spans="1:19" x14ac:dyDescent="0.25">
      <c r="Q49" s="12" t="s">
        <v>37</v>
      </c>
      <c r="R49" s="14">
        <v>0.25</v>
      </c>
      <c r="S49" s="18" t="s">
        <v>38</v>
      </c>
    </row>
    <row r="50" spans="1:19" ht="18.75" x14ac:dyDescent="0.3">
      <c r="A50" s="22" t="s">
        <v>106</v>
      </c>
      <c r="Q50" s="12" t="s">
        <v>41</v>
      </c>
      <c r="R50" s="14">
        <v>0.75</v>
      </c>
      <c r="S50" s="18" t="s">
        <v>38</v>
      </c>
    </row>
    <row r="51" spans="1:19" ht="18.75" x14ac:dyDescent="0.3">
      <c r="A51" s="23">
        <f>F48</f>
        <v>84.240000000000009</v>
      </c>
      <c r="Q51" s="12" t="s">
        <v>43</v>
      </c>
      <c r="R51" s="14">
        <v>0.25</v>
      </c>
      <c r="S51" s="18" t="s">
        <v>38</v>
      </c>
    </row>
    <row r="52" spans="1:19" x14ac:dyDescent="0.25">
      <c r="Q52" s="12" t="s">
        <v>45</v>
      </c>
      <c r="R52" s="14">
        <v>0.125</v>
      </c>
      <c r="S52" s="18" t="s">
        <v>38</v>
      </c>
    </row>
    <row r="53" spans="1:19" ht="18.75" x14ac:dyDescent="0.3">
      <c r="A53" s="22" t="s">
        <v>107</v>
      </c>
      <c r="Q53" s="12" t="s">
        <v>47</v>
      </c>
      <c r="R53" s="3">
        <f>SUM(R49:R52)</f>
        <v>1.375</v>
      </c>
      <c r="S53" s="18" t="s">
        <v>38</v>
      </c>
    </row>
    <row r="54" spans="1:19" ht="18.75" x14ac:dyDescent="0.3">
      <c r="A54" s="24">
        <v>0.5</v>
      </c>
    </row>
    <row r="55" spans="1:19" x14ac:dyDescent="0.25">
      <c r="Q55" s="6" t="s">
        <v>48</v>
      </c>
      <c r="R55" s="7">
        <v>60</v>
      </c>
      <c r="S55" s="3" t="s">
        <v>49</v>
      </c>
    </row>
    <row r="56" spans="1:19" ht="18.75" x14ac:dyDescent="0.3">
      <c r="A56" s="22" t="s">
        <v>108</v>
      </c>
    </row>
    <row r="57" spans="1:19" ht="18.75" x14ac:dyDescent="0.3">
      <c r="A57" s="23">
        <f>A51*(1+A54)</f>
        <v>126.36000000000001</v>
      </c>
      <c r="Q57" s="8" t="s">
        <v>26</v>
      </c>
      <c r="R57" s="9">
        <v>0.35</v>
      </c>
    </row>
    <row r="59" spans="1:19" x14ac:dyDescent="0.25">
      <c r="Q59" s="10" t="s">
        <v>29</v>
      </c>
      <c r="R59" s="11">
        <f>R53*R55*(1+R57)</f>
        <v>111.37500000000001</v>
      </c>
    </row>
    <row r="61" spans="1:19" ht="18.75" x14ac:dyDescent="0.3">
      <c r="A61" s="22" t="s">
        <v>114</v>
      </c>
    </row>
    <row r="62" spans="1:19" ht="18.75" x14ac:dyDescent="0.3">
      <c r="A62" s="23">
        <v>12</v>
      </c>
    </row>
    <row r="64" spans="1:19" ht="18.75" x14ac:dyDescent="0.3">
      <c r="A64" s="22" t="s">
        <v>115</v>
      </c>
    </row>
    <row r="65" spans="1:1" ht="18.75" x14ac:dyDescent="0.3">
      <c r="A65" s="23">
        <v>100000</v>
      </c>
    </row>
  </sheetData>
  <mergeCells count="19">
    <mergeCell ref="Q47:R48"/>
    <mergeCell ref="K2:L3"/>
    <mergeCell ref="N2:O3"/>
    <mergeCell ref="Q2:R3"/>
    <mergeCell ref="Q17:R18"/>
    <mergeCell ref="Q32:R33"/>
    <mergeCell ref="E2:F3"/>
    <mergeCell ref="H2:I3"/>
    <mergeCell ref="T2:U3"/>
    <mergeCell ref="T17:U18"/>
    <mergeCell ref="T32:U33"/>
    <mergeCell ref="E32:F33"/>
    <mergeCell ref="N17:O18"/>
    <mergeCell ref="H32:I33"/>
    <mergeCell ref="K32:L33"/>
    <mergeCell ref="N32:O33"/>
    <mergeCell ref="E17:F18"/>
    <mergeCell ref="H17:I18"/>
    <mergeCell ref="K17:L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B95F2-B3C0-4B37-A7D6-24D7E35B1121}">
  <dimension ref="A2:K34"/>
  <sheetViews>
    <sheetView tabSelected="1" topLeftCell="K34" zoomScale="130" zoomScaleNormal="130" workbookViewId="0">
      <selection activeCell="Y61" sqref="Y61"/>
    </sheetView>
  </sheetViews>
  <sheetFormatPr defaultRowHeight="15" x14ac:dyDescent="0.25"/>
  <cols>
    <col min="1" max="1" width="30.140625" customWidth="1"/>
    <col min="2" max="11" width="18.140625" customWidth="1"/>
  </cols>
  <sheetData>
    <row r="2" spans="1:11" x14ac:dyDescent="0.25">
      <c r="A2" t="s">
        <v>70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4" spans="1:11" x14ac:dyDescent="0.25">
      <c r="A4" t="s">
        <v>102</v>
      </c>
      <c r="B4">
        <v>0</v>
      </c>
      <c r="C4">
        <v>5000</v>
      </c>
      <c r="D4">
        <v>10000</v>
      </c>
      <c r="E4">
        <v>15000</v>
      </c>
      <c r="F4">
        <v>20000</v>
      </c>
      <c r="G4">
        <v>25000</v>
      </c>
      <c r="H4">
        <v>30000</v>
      </c>
      <c r="I4">
        <v>35000</v>
      </c>
      <c r="J4">
        <v>40000</v>
      </c>
      <c r="K4">
        <v>40000</v>
      </c>
    </row>
    <row r="5" spans="1:11" x14ac:dyDescent="0.25">
      <c r="A5" t="s">
        <v>103</v>
      </c>
      <c r="B5" s="27">
        <f>10000000</f>
        <v>10000000</v>
      </c>
      <c r="C5" s="27">
        <f>C4*Financials!$A$26</f>
        <v>4164627.85</v>
      </c>
      <c r="D5" s="27">
        <f>D4*Financials!$A$26</f>
        <v>8329255.7000000002</v>
      </c>
      <c r="E5" s="27">
        <f>E4*Financials!$A$26</f>
        <v>12493883.550000001</v>
      </c>
      <c r="F5" s="27">
        <f>F4*Financials!$A$26</f>
        <v>16658511.4</v>
      </c>
      <c r="G5" s="27">
        <f>G4*Financials!$A$26</f>
        <v>20823139.25</v>
      </c>
      <c r="H5" s="27">
        <f>H4*Financials!$A$26</f>
        <v>24987767.100000001</v>
      </c>
      <c r="I5" s="27">
        <f>I4*Financials!$A$26</f>
        <v>29152394.949999999</v>
      </c>
      <c r="J5" s="27">
        <f>J4*Financials!$A$26</f>
        <v>33317022.800000001</v>
      </c>
      <c r="K5" s="27">
        <f>K4*Financials!$A$26</f>
        <v>33317022.800000001</v>
      </c>
    </row>
    <row r="6" spans="1:11" x14ac:dyDescent="0.25">
      <c r="A6" t="s">
        <v>104</v>
      </c>
      <c r="B6" s="27">
        <v>0</v>
      </c>
      <c r="C6" s="27">
        <f>Financials!$A$32*C4</f>
        <v>5205784.8125</v>
      </c>
      <c r="D6" s="27">
        <f>Financials!$A$32*D4</f>
        <v>10411569.625</v>
      </c>
      <c r="E6" s="27">
        <f>Financials!$A$32*E4</f>
        <v>15617354.4375</v>
      </c>
      <c r="F6" s="27">
        <f>Financials!$A$32*F4</f>
        <v>20823139.25</v>
      </c>
      <c r="G6" s="27">
        <f>Financials!$A$32*G4</f>
        <v>26028924.0625</v>
      </c>
      <c r="H6" s="27">
        <f>Financials!$A$32*H4</f>
        <v>31234708.875</v>
      </c>
      <c r="I6" s="27">
        <f>Financials!$A$32*I4</f>
        <v>36440493.6875</v>
      </c>
      <c r="J6" s="27">
        <f>Financials!$A$32*J4</f>
        <v>41646278.5</v>
      </c>
      <c r="K6" s="27">
        <f>Financials!$A$32*K4</f>
        <v>41646278.5</v>
      </c>
    </row>
    <row r="7" spans="1:11" x14ac:dyDescent="0.25">
      <c r="B7" s="27"/>
      <c r="C7" s="27"/>
      <c r="D7" s="27"/>
      <c r="E7" s="27"/>
      <c r="F7" s="27"/>
      <c r="G7" s="27"/>
      <c r="H7" s="27"/>
      <c r="I7" s="27"/>
      <c r="J7" s="27"/>
      <c r="K7" s="27"/>
    </row>
    <row r="8" spans="1:11" x14ac:dyDescent="0.25">
      <c r="A8" t="s">
        <v>105</v>
      </c>
      <c r="B8">
        <v>0</v>
      </c>
      <c r="C8">
        <v>0</v>
      </c>
      <c r="D8">
        <v>5000</v>
      </c>
      <c r="E8">
        <v>10000</v>
      </c>
      <c r="F8">
        <v>15000</v>
      </c>
      <c r="G8">
        <v>20000</v>
      </c>
      <c r="H8">
        <v>25000</v>
      </c>
      <c r="I8">
        <v>27000</v>
      </c>
      <c r="J8">
        <v>29000</v>
      </c>
      <c r="K8">
        <v>30000</v>
      </c>
    </row>
    <row r="9" spans="1:11" x14ac:dyDescent="0.25">
      <c r="A9" t="s">
        <v>106</v>
      </c>
      <c r="B9" s="27">
        <f>Financials!$A$51*Projections!B8</f>
        <v>0</v>
      </c>
      <c r="C9" s="27">
        <f>Financials!$A$51*Projections!C8</f>
        <v>0</v>
      </c>
      <c r="D9" s="27">
        <f>Financials!$A$51*Projections!D8</f>
        <v>421200.00000000006</v>
      </c>
      <c r="E9" s="27">
        <f>Financials!$A$51*Projections!E8</f>
        <v>842400.00000000012</v>
      </c>
      <c r="F9" s="27">
        <f>Financials!$A$51*Projections!F8</f>
        <v>1263600.0000000002</v>
      </c>
      <c r="G9" s="27">
        <f>Financials!$A$51*Projections!G8</f>
        <v>1684800.0000000002</v>
      </c>
      <c r="H9" s="27">
        <f>Financials!$A$51*Projections!H8</f>
        <v>2106000</v>
      </c>
      <c r="I9" s="27">
        <f>Financials!$A$51*Projections!I8</f>
        <v>2274480.0000000005</v>
      </c>
      <c r="J9" s="27">
        <f>Financials!$A$51*Projections!J8</f>
        <v>2442960.0000000005</v>
      </c>
      <c r="K9" s="27">
        <f>Financials!$A$51*Projections!K8</f>
        <v>2527200.0000000005</v>
      </c>
    </row>
    <row r="10" spans="1:11" x14ac:dyDescent="0.25">
      <c r="A10" t="s">
        <v>113</v>
      </c>
      <c r="B10" s="27">
        <v>0</v>
      </c>
      <c r="C10" s="27">
        <v>0</v>
      </c>
      <c r="D10" s="27">
        <f>Financials!$A$57*Projections!D8</f>
        <v>631800.00000000012</v>
      </c>
      <c r="E10" s="27">
        <f>Financials!$A$57*Projections!E8</f>
        <v>1263600.0000000002</v>
      </c>
      <c r="F10" s="27">
        <f>Financials!$A$57*Projections!F8</f>
        <v>1895400.0000000002</v>
      </c>
      <c r="G10" s="27">
        <f>Financials!$A$57*Projections!G8</f>
        <v>2527200.0000000005</v>
      </c>
      <c r="H10" s="27">
        <f>Financials!$A$57*Projections!H8</f>
        <v>3159000.0000000005</v>
      </c>
      <c r="I10" s="27">
        <f>Financials!$A$57*Projections!I8</f>
        <v>3411720.0000000005</v>
      </c>
      <c r="J10" s="27">
        <f>Financials!$A$57*Projections!J8</f>
        <v>3664440.0000000005</v>
      </c>
      <c r="K10" s="27">
        <f>Financials!$A$57*Projections!K8</f>
        <v>3790800.0000000005</v>
      </c>
    </row>
    <row r="11" spans="1:11" x14ac:dyDescent="0.25">
      <c r="B11" s="27"/>
      <c r="C11" s="27"/>
      <c r="D11" s="27"/>
      <c r="E11" s="27"/>
      <c r="F11" s="27"/>
      <c r="G11" s="27"/>
      <c r="H11" s="27"/>
      <c r="I11" s="27"/>
      <c r="J11" s="27"/>
      <c r="K11" s="27"/>
    </row>
    <row r="12" spans="1:11" x14ac:dyDescent="0.25">
      <c r="A12" t="s">
        <v>109</v>
      </c>
      <c r="B12" s="27">
        <v>100000</v>
      </c>
      <c r="C12" s="27">
        <v>100000</v>
      </c>
      <c r="D12" s="27">
        <v>100000</v>
      </c>
      <c r="E12" s="27">
        <v>100000</v>
      </c>
      <c r="F12" s="27">
        <v>100000</v>
      </c>
      <c r="G12" s="27">
        <v>100000</v>
      </c>
      <c r="H12" s="27">
        <v>100000</v>
      </c>
      <c r="I12" s="27">
        <v>100000</v>
      </c>
      <c r="J12" s="27">
        <v>100000</v>
      </c>
      <c r="K12" s="27">
        <v>100000</v>
      </c>
    </row>
    <row r="13" spans="1:11" x14ac:dyDescent="0.25">
      <c r="A13" t="s">
        <v>110</v>
      </c>
      <c r="B13" s="27">
        <f>10*12*B4</f>
        <v>0</v>
      </c>
      <c r="C13" s="27">
        <f t="shared" ref="C13:K13" si="0">10*12*C4</f>
        <v>600000</v>
      </c>
      <c r="D13" s="27">
        <f t="shared" si="0"/>
        <v>1200000</v>
      </c>
      <c r="E13" s="27">
        <f t="shared" si="0"/>
        <v>1800000</v>
      </c>
      <c r="F13" s="27">
        <f t="shared" si="0"/>
        <v>2400000</v>
      </c>
      <c r="G13" s="27">
        <f t="shared" si="0"/>
        <v>3000000</v>
      </c>
      <c r="H13" s="27">
        <f t="shared" si="0"/>
        <v>3600000</v>
      </c>
      <c r="I13" s="27">
        <f t="shared" si="0"/>
        <v>4200000</v>
      </c>
      <c r="J13" s="27">
        <f t="shared" si="0"/>
        <v>4800000</v>
      </c>
      <c r="K13" s="27">
        <f t="shared" si="0"/>
        <v>4800000</v>
      </c>
    </row>
    <row r="14" spans="1:11" x14ac:dyDescent="0.25">
      <c r="B14" s="27"/>
      <c r="C14" s="27"/>
      <c r="D14" s="27"/>
      <c r="E14" s="27"/>
      <c r="F14" s="27"/>
      <c r="G14" s="27"/>
      <c r="H14" s="27"/>
      <c r="I14" s="27"/>
      <c r="J14" s="27"/>
      <c r="K14" s="27"/>
    </row>
    <row r="15" spans="1:11" x14ac:dyDescent="0.25">
      <c r="A15" t="s">
        <v>112</v>
      </c>
      <c r="B15" s="27">
        <f>B5+B9+B12</f>
        <v>10100000</v>
      </c>
      <c r="C15" s="27">
        <f t="shared" ref="C15:K15" si="1">C5+C9+C12</f>
        <v>4264627.8499999996</v>
      </c>
      <c r="D15" s="27">
        <f t="shared" si="1"/>
        <v>8850455.7000000011</v>
      </c>
      <c r="E15" s="27">
        <f t="shared" si="1"/>
        <v>13436283.550000001</v>
      </c>
      <c r="F15" s="27">
        <f t="shared" si="1"/>
        <v>18022111.400000002</v>
      </c>
      <c r="G15" s="27">
        <f t="shared" si="1"/>
        <v>22607939.25</v>
      </c>
      <c r="H15" s="27">
        <f t="shared" si="1"/>
        <v>27193767.100000001</v>
      </c>
      <c r="I15" s="27">
        <f t="shared" si="1"/>
        <v>31526874.949999999</v>
      </c>
      <c r="J15" s="27">
        <f t="shared" si="1"/>
        <v>35859982.800000004</v>
      </c>
      <c r="K15" s="27">
        <f t="shared" si="1"/>
        <v>35944222.800000004</v>
      </c>
    </row>
    <row r="16" spans="1:11" x14ac:dyDescent="0.25">
      <c r="A16" t="s">
        <v>111</v>
      </c>
      <c r="B16" s="27">
        <f>B6+B10+B13</f>
        <v>0</v>
      </c>
      <c r="C16" s="27">
        <f t="shared" ref="C16:K16" si="2">C6+C10+C13</f>
        <v>5805784.8125</v>
      </c>
      <c r="D16" s="27">
        <f t="shared" si="2"/>
        <v>12243369.625</v>
      </c>
      <c r="E16" s="27">
        <f t="shared" si="2"/>
        <v>18680954.4375</v>
      </c>
      <c r="F16" s="27">
        <f t="shared" si="2"/>
        <v>25118539.25</v>
      </c>
      <c r="G16" s="27">
        <f t="shared" si="2"/>
        <v>31556124.0625</v>
      </c>
      <c r="H16" s="27">
        <f t="shared" si="2"/>
        <v>37993708.875</v>
      </c>
      <c r="I16" s="27">
        <f t="shared" si="2"/>
        <v>44052213.6875</v>
      </c>
      <c r="J16" s="27">
        <f t="shared" si="2"/>
        <v>50110718.5</v>
      </c>
      <c r="K16" s="27">
        <f t="shared" si="2"/>
        <v>50237078.5</v>
      </c>
    </row>
    <row r="17" spans="1:11" x14ac:dyDescent="0.25">
      <c r="A17" t="s">
        <v>75</v>
      </c>
      <c r="B17" s="27">
        <f>(B6-B5)+(B10-B9)+(B13-B12)</f>
        <v>-10100000</v>
      </c>
      <c r="C17" s="27">
        <f t="shared" ref="C17:K17" si="3">(C6-C5)+(C10-C9)+(C13-C12)</f>
        <v>1541156.9624999999</v>
      </c>
      <c r="D17" s="27">
        <f t="shared" si="3"/>
        <v>3392913.9249999998</v>
      </c>
      <c r="E17" s="27">
        <f t="shared" si="3"/>
        <v>5244670.8874999993</v>
      </c>
      <c r="F17" s="27">
        <f t="shared" si="3"/>
        <v>7096427.8499999996</v>
      </c>
      <c r="G17" s="27">
        <f t="shared" si="3"/>
        <v>8948184.8125</v>
      </c>
      <c r="H17" s="27">
        <f t="shared" si="3"/>
        <v>10799941.774999999</v>
      </c>
      <c r="I17" s="27">
        <f t="shared" si="3"/>
        <v>12525338.737500001</v>
      </c>
      <c r="J17" s="27">
        <f t="shared" si="3"/>
        <v>14250735.699999999</v>
      </c>
      <c r="K17" s="27">
        <f t="shared" si="3"/>
        <v>14292855.699999999</v>
      </c>
    </row>
    <row r="18" spans="1:11" x14ac:dyDescent="0.25">
      <c r="A18" t="s">
        <v>77</v>
      </c>
      <c r="B18" s="28"/>
      <c r="C18" s="28">
        <f>C17/(C5+$B$5)</f>
        <v>0.10880320886792659</v>
      </c>
      <c r="D18" s="28">
        <f t="shared" ref="D18:J18" si="4">D17/(D5+$B$5)</f>
        <v>0.18510920358866509</v>
      </c>
      <c r="E18" s="28">
        <f t="shared" si="4"/>
        <v>0.23315986658515439</v>
      </c>
      <c r="F18" s="28">
        <f t="shared" si="4"/>
        <v>0.26619745354573698</v>
      </c>
      <c r="G18" s="28">
        <f t="shared" si="4"/>
        <v>0.29030738043659848</v>
      </c>
      <c r="H18" s="28">
        <f t="shared" si="4"/>
        <v>0.30867765136689729</v>
      </c>
      <c r="I18" s="28">
        <f t="shared" si="4"/>
        <v>0.31991245372079086</v>
      </c>
      <c r="J18" s="28">
        <f t="shared" si="4"/>
        <v>0.3289869612183966</v>
      </c>
      <c r="K18" s="28">
        <f>K17/(K5+$B$5)</f>
        <v>0.32995932721396543</v>
      </c>
    </row>
    <row r="22" spans="1:11" x14ac:dyDescent="0.25">
      <c r="A22" t="s">
        <v>71</v>
      </c>
    </row>
    <row r="23" spans="1:11" x14ac:dyDescent="0.25">
      <c r="A23" t="s">
        <v>72</v>
      </c>
    </row>
    <row r="24" spans="1:11" x14ac:dyDescent="0.25">
      <c r="A24" t="s">
        <v>73</v>
      </c>
    </row>
    <row r="25" spans="1:11" x14ac:dyDescent="0.25">
      <c r="A25" t="s">
        <v>74</v>
      </c>
    </row>
    <row r="26" spans="1:11" x14ac:dyDescent="0.25">
      <c r="A26" t="s">
        <v>76</v>
      </c>
    </row>
    <row r="34" spans="11:11" x14ac:dyDescent="0.25">
      <c r="K34" t="s">
        <v>116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Financials</vt:lpstr>
      <vt:lpstr>Projections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nelso336-lt1</dc:creator>
  <cp:keywords/>
  <dc:description/>
  <cp:lastModifiedBy>Iyer, Sankaran Suresh</cp:lastModifiedBy>
  <cp:revision/>
  <dcterms:created xsi:type="dcterms:W3CDTF">2021-08-31T16:29:24Z</dcterms:created>
  <dcterms:modified xsi:type="dcterms:W3CDTF">2025-03-05T22:40:56Z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2025-02-01T01:57:47Z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e8676524-8e58-49ca-a058-27726dfddb8e</vt:lpwstr>
  </property>
  <property fmtid="{D5CDD505-2E9C-101B-9397-08002B2CF9AE}" pid="8" name="MSIP_Label_4044bd30-2ed7-4c9d-9d12-46200872a97b_ContentBits">
    <vt:lpwstr>0</vt:lpwstr>
  </property>
</Properties>
</file>